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12'!$A$1:$I$102</definedName>
  </definedNames>
  <calcPr fullCalcOnLoad="1"/>
</workbook>
</file>

<file path=xl/sharedStrings.xml><?xml version="1.0" encoding="utf-8"?>
<sst xmlns="http://schemas.openxmlformats.org/spreadsheetml/2006/main" count="112" uniqueCount="107">
  <si>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</si>
  <si>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</si>
  <si>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</si>
  <si>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</si>
  <si>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</si>
  <si>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</si>
  <si>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</si>
  <si>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</si>
  <si>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</si>
  <si>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</si>
  <si>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</si>
  <si>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</si>
  <si>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</si>
  <si>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</si>
  <si>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</si>
  <si>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</si>
  <si>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</si>
  <si>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</si>
  <si>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</si>
  <si>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</si>
  <si>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</si>
  <si>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</si>
  <si>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</si>
  <si>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</si>
  <si>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</si>
  <si>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</si>
  <si>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</si>
  <si>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</si>
  <si>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</si>
  <si>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</si>
  <si>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</si>
  <si>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</si>
  <si>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</si>
  <si>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</si>
  <si>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</si>
  <si>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</si>
  <si>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</si>
  <si>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</si>
  <si>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</si>
  <si>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</si>
  <si>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</si>
  <si>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</si>
  <si>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</si>
  <si>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</si>
  <si>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</si>
  <si>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</si>
  <si>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</si>
  <si>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</si>
  <si>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Амброса (тротуар, парна сторона/непарна сторона від вул. Новопричистенська до вул. Іллєнка)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</si>
  <si>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</si>
  <si>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</si>
  <si>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</si>
  <si>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</si>
  <si>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</si>
  <si>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</si>
  <si>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</si>
  <si>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</si>
  <si>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</si>
  <si>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Різдвяна (тротуар, парна сторона/непарна сторона, від вул. Волкова до вул. Толстого)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</si>
  <si>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</si>
  <si>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</si>
  <si>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</si>
  <si>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</si>
  <si>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</si>
  <si>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</si>
  <si>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</si>
  <si>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</si>
  <si>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</si>
  <si>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</si>
  <si>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</si>
  <si>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</si>
  <si>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</si>
  <si>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</si>
  <si>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</si>
  <si>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</si>
  <si>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</si>
  <si>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</si>
  <si>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</si>
  <si>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</si>
  <si>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</si>
  <si>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>Капітальний ремонт вул.Пилипенка (парна сторона) від вул. Пастерівської до вул. М.Залізняка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</si>
  <si>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</si>
  <si>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</si>
  <si>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</si>
  <si>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Капітальний ремонт вул.Сумгаїтської (від вул.Одеської до вул.30-річчя Перемоги) в м.Черкаси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</si>
  <si>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</si>
  <si>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</si>
  <si>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</si>
  <si>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</si>
  <si>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</si>
  <si>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</si>
  <si>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</si>
  <si>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</si>
  <si>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</si>
  <si>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</si>
  <si>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</si>
  <si>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</si>
  <si>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</si>
  <si>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</si>
  <si>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</si>
  <si>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Відсоток виконання до плану 4 місяців</t>
  </si>
  <si>
    <t>Залишок призначень до плану 4 місяців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</si>
  <si>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</si>
  <si>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</si>
  <si>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</si>
  <si>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</si>
  <si>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>Касові видатки станом на 15.04.19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</si>
</sst>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i/>
      <sz val="14"/>
      <color theme="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1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9" fillId="0" borderId="13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2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4" fontId="0" fillId="54" borderId="14" xfId="112" applyNumberFormat="1" applyFont="1" applyFill="1" applyBorder="1">
      <alignment/>
      <protection/>
    </xf>
    <xf numFmtId="4" fontId="0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3" fillId="0" borderId="14" xfId="107" applyNumberFormat="1" applyFont="1" applyFill="1" applyBorder="1" applyAlignment="1">
      <alignment horizontal="center"/>
      <protection/>
    </xf>
    <xf numFmtId="186" fontId="62" fillId="0" borderId="14" xfId="112" applyNumberFormat="1" applyFont="1" applyFill="1" applyBorder="1" applyAlignment="1">
      <alignment horizontal="center"/>
      <protection/>
    </xf>
    <xf numFmtId="4" fontId="62" fillId="52" borderId="14" xfId="131" applyNumberFormat="1" applyFont="1" applyFill="1" applyBorder="1" applyAlignment="1">
      <alignment horizontal="center" vertical="center"/>
    </xf>
    <xf numFmtId="4" fontId="33" fillId="52" borderId="14" xfId="131" applyNumberFormat="1" applyFont="1" applyFill="1" applyBorder="1" applyAlignment="1">
      <alignment horizontal="center" vertical="center"/>
    </xf>
    <xf numFmtId="0" fontId="32" fillId="0" borderId="16" xfId="112" applyFont="1" applyFill="1" applyBorder="1" applyAlignment="1">
      <alignment horizontal="center" wrapText="1"/>
      <protection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2" fontId="33" fillId="0" borderId="19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32" fillId="0" borderId="16" xfId="112" applyFont="1" applyBorder="1" applyAlignment="1">
      <alignment horizontal="center" wrapText="1"/>
      <protection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0" fontId="20" fillId="46" borderId="19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9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J16" sqref="AJ16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0.5" style="19" hidden="1" customWidth="1"/>
    <col min="11" max="11" width="17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27" width="9.33203125" style="2" hidden="1" customWidth="1"/>
    <col min="28" max="30" width="9.33203125" style="2" customWidth="1"/>
    <col min="31" max="16384" width="9.33203125" style="2" customWidth="1"/>
  </cols>
  <sheetData>
    <row r="1" spans="4:7" ht="74.25" customHeight="1" hidden="1">
      <c r="D1" s="106" t="s">
        <v>13</v>
      </c>
      <c r="E1" s="107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9" ht="21" customHeight="1">
      <c r="A3" s="111" t="s">
        <v>14</v>
      </c>
      <c r="B3" s="111"/>
      <c r="C3" s="111"/>
      <c r="D3" s="111"/>
      <c r="E3" s="111"/>
      <c r="F3" s="111"/>
      <c r="G3" s="111"/>
      <c r="H3" s="111"/>
      <c r="I3" s="111"/>
    </row>
    <row r="4" spans="1:9" ht="20.25" customHeight="1">
      <c r="A4" s="110" t="s">
        <v>40</v>
      </c>
      <c r="B4" s="110"/>
      <c r="C4" s="110"/>
      <c r="D4" s="110"/>
      <c r="E4" s="110"/>
      <c r="F4" s="110"/>
      <c r="G4" s="110"/>
      <c r="H4" s="110"/>
      <c r="I4" s="110"/>
    </row>
    <row r="5" spans="1:13" ht="20.25" customHeight="1">
      <c r="A5" s="25"/>
      <c r="B5" s="25"/>
      <c r="C5" s="25"/>
      <c r="D5" s="25"/>
      <c r="E5" s="25"/>
      <c r="F5" s="25"/>
      <c r="G5" s="25"/>
      <c r="M5" s="68"/>
    </row>
    <row r="6" spans="3:9" ht="13.5" customHeight="1">
      <c r="C6" s="4"/>
      <c r="D6" s="3"/>
      <c r="E6" s="12"/>
      <c r="F6" s="12"/>
      <c r="G6" s="12"/>
      <c r="I6" s="12" t="s">
        <v>21</v>
      </c>
    </row>
    <row r="7" spans="1:10" ht="12" customHeight="1">
      <c r="A7" s="108" t="s">
        <v>3</v>
      </c>
      <c r="B7" s="13"/>
      <c r="C7" s="108" t="s">
        <v>0</v>
      </c>
      <c r="D7" s="109" t="s">
        <v>1</v>
      </c>
      <c r="E7" s="109" t="s">
        <v>16</v>
      </c>
      <c r="F7" s="109" t="s">
        <v>37</v>
      </c>
      <c r="G7" s="14" t="s">
        <v>38</v>
      </c>
      <c r="H7" s="121" t="s">
        <v>106</v>
      </c>
      <c r="I7" s="112" t="s">
        <v>2</v>
      </c>
      <c r="J7" s="114" t="s">
        <v>100</v>
      </c>
    </row>
    <row r="8" spans="1:25" ht="39.75" customHeight="1">
      <c r="A8" s="108"/>
      <c r="B8" s="1" t="s">
        <v>17</v>
      </c>
      <c r="C8" s="108"/>
      <c r="D8" s="109"/>
      <c r="E8" s="109"/>
      <c r="F8" s="109"/>
      <c r="G8" s="49" t="s">
        <v>39</v>
      </c>
      <c r="H8" s="122"/>
      <c r="I8" s="113"/>
      <c r="J8" s="115"/>
      <c r="L8" s="119" t="s">
        <v>101</v>
      </c>
      <c r="M8" s="112" t="s">
        <v>22</v>
      </c>
      <c r="N8" s="114" t="s">
        <v>23</v>
      </c>
      <c r="O8" s="112" t="s">
        <v>24</v>
      </c>
      <c r="P8" s="112" t="s">
        <v>25</v>
      </c>
      <c r="Q8" s="112" t="s">
        <v>26</v>
      </c>
      <c r="R8" s="112" t="s">
        <v>27</v>
      </c>
      <c r="S8" s="112" t="s">
        <v>28</v>
      </c>
      <c r="T8" s="112" t="s">
        <v>29</v>
      </c>
      <c r="U8" s="112" t="s">
        <v>30</v>
      </c>
      <c r="V8" s="112" t="s">
        <v>31</v>
      </c>
      <c r="W8" s="112" t="s">
        <v>32</v>
      </c>
      <c r="X8" s="112" t="s">
        <v>33</v>
      </c>
      <c r="Y8" s="112" t="s">
        <v>34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62">
        <v>9</v>
      </c>
      <c r="L9" s="120"/>
      <c r="M9" s="113"/>
      <c r="N9" s="115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 s="15" customFormat="1" ht="19.5" customHeight="1">
      <c r="A10" s="116" t="s">
        <v>5</v>
      </c>
      <c r="B10" s="117"/>
      <c r="C10" s="117"/>
      <c r="D10" s="117"/>
      <c r="E10" s="117"/>
      <c r="F10" s="117"/>
      <c r="G10" s="117"/>
      <c r="H10" s="117"/>
      <c r="I10" s="117"/>
      <c r="J10" s="118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6" ht="18">
      <c r="A11" s="5">
        <v>1</v>
      </c>
      <c r="B11" s="6"/>
      <c r="C11" s="7" t="s">
        <v>4</v>
      </c>
      <c r="D11" s="8">
        <f>D12+D28</f>
        <v>185957179.43</v>
      </c>
      <c r="E11" s="8">
        <f>E12+E28</f>
        <v>148561799.97</v>
      </c>
      <c r="F11" s="8">
        <f>F12+F28</f>
        <v>37395379.45999999</v>
      </c>
      <c r="G11" s="8">
        <f>G12+G28</f>
        <v>37377890.95999999</v>
      </c>
      <c r="H11" s="8">
        <f>H12+H28</f>
        <v>35957283.81</v>
      </c>
      <c r="I11" s="38">
        <f aca="true" t="shared" si="0" ref="I11:I19">H11/D11*100</f>
        <v>19.336324588390216</v>
      </c>
      <c r="J11" s="38">
        <f>(H11/(M11+N11+O11+P11))*100</f>
        <v>73.03033986070227</v>
      </c>
      <c r="K11" s="73"/>
      <c r="L11" s="46">
        <f>M11+N11+O11+P11-H12</f>
        <v>14617806.11999999</v>
      </c>
      <c r="M11" s="43">
        <f aca="true" t="shared" si="1" ref="M11:X11">M12+M20</f>
        <v>3100000</v>
      </c>
      <c r="N11" s="43">
        <f t="shared" si="1"/>
        <v>17854577.81</v>
      </c>
      <c r="O11" s="43">
        <f t="shared" si="1"/>
        <v>7924843.79</v>
      </c>
      <c r="P11" s="43">
        <f t="shared" si="1"/>
        <v>20356668.33</v>
      </c>
      <c r="Q11" s="43">
        <f t="shared" si="1"/>
        <v>17494593.83</v>
      </c>
      <c r="R11" s="43">
        <f t="shared" si="1"/>
        <v>22117853.55</v>
      </c>
      <c r="S11" s="43">
        <f t="shared" si="1"/>
        <v>18140362.18</v>
      </c>
      <c r="T11" s="43">
        <f t="shared" si="1"/>
        <v>19620000</v>
      </c>
      <c r="U11" s="43">
        <f t="shared" si="1"/>
        <v>6944322.279999999</v>
      </c>
      <c r="V11" s="43">
        <f t="shared" si="1"/>
        <v>5820000</v>
      </c>
      <c r="W11" s="43">
        <f t="shared" si="1"/>
        <v>4720000</v>
      </c>
      <c r="X11" s="43">
        <f t="shared" si="1"/>
        <v>4486066.7</v>
      </c>
      <c r="Y11" s="44">
        <f>SUM(M11:X11)</f>
        <v>148579288.46999997</v>
      </c>
      <c r="Z11" s="45">
        <f>Y11-D12</f>
        <v>0</v>
      </c>
    </row>
    <row r="12" spans="1:26" ht="18">
      <c r="A12" s="9"/>
      <c r="B12" s="10"/>
      <c r="C12" s="36" t="s">
        <v>6</v>
      </c>
      <c r="D12" s="37">
        <f>SUM(D13:D19)+D20</f>
        <v>148579288.47</v>
      </c>
      <c r="E12" s="37">
        <f>SUM(E13:E19)+E20</f>
        <v>148561799.97</v>
      </c>
      <c r="F12" s="37">
        <f>F20</f>
        <v>17488.5</v>
      </c>
      <c r="G12" s="37"/>
      <c r="H12" s="37">
        <f>H13+H16+H17+H18+H20+H19</f>
        <v>34618283.81</v>
      </c>
      <c r="I12" s="51">
        <f t="shared" si="0"/>
        <v>23.299535329912327</v>
      </c>
      <c r="J12" s="66">
        <f>(H12/(M11+N11+O11+P11))*100</f>
        <v>70.31079003068189</v>
      </c>
      <c r="K12" s="73"/>
      <c r="L12" s="42">
        <f>(M12+N12+O12+P12)-(H13+H16+H17+H18)</f>
        <v>12743127.92</v>
      </c>
      <c r="M12" s="74">
        <f>1064334-964334</f>
        <v>100000</v>
      </c>
      <c r="N12" s="74">
        <f>1950000+964334</f>
        <v>2914334</v>
      </c>
      <c r="O12" s="74">
        <f>3584500-2065000</f>
        <v>1519500</v>
      </c>
      <c r="P12" s="74">
        <f>13117886-2661695</f>
        <v>10456191</v>
      </c>
      <c r="Q12" s="74">
        <f>13020000</f>
        <v>13020000</v>
      </c>
      <c r="R12" s="74">
        <f>13020000+2065000+2661695</f>
        <v>17746695</v>
      </c>
      <c r="S12" s="74">
        <f>12255666</f>
        <v>12255666</v>
      </c>
      <c r="T12" s="74">
        <f>12020000</f>
        <v>12020000</v>
      </c>
      <c r="U12" s="74">
        <f>420000</f>
        <v>420000</v>
      </c>
      <c r="V12" s="74">
        <v>420000</v>
      </c>
      <c r="W12" s="74">
        <v>420000</v>
      </c>
      <c r="X12" s="74">
        <v>420000</v>
      </c>
      <c r="Y12" s="42">
        <f>SUM(M12:X12)</f>
        <v>71712386</v>
      </c>
      <c r="Z12" s="45"/>
    </row>
    <row r="13" spans="1:26" ht="18.75" customHeight="1">
      <c r="A13" s="9"/>
      <c r="B13" s="10"/>
      <c r="C13" s="16" t="s">
        <v>7</v>
      </c>
      <c r="D13" s="75">
        <f>E13</f>
        <v>50097886</v>
      </c>
      <c r="E13" s="17">
        <f>27097886-5000000+28000000</f>
        <v>50097886</v>
      </c>
      <c r="F13" s="17"/>
      <c r="G13" s="17"/>
      <c r="H13" s="17"/>
      <c r="I13" s="84">
        <f t="shared" si="0"/>
        <v>0</v>
      </c>
      <c r="J13" s="103">
        <f>((H13+H16+H17+H18+H19)/(M12+N12+O12+P12))*100</f>
        <v>24.547754123158565</v>
      </c>
      <c r="K13" s="7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2">
        <f>SUM(M13:X13)</f>
        <v>0</v>
      </c>
      <c r="Z13" s="45"/>
    </row>
    <row r="14" spans="1:26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7" t="e">
        <f t="shared" si="0"/>
        <v>#DIV/0!</v>
      </c>
      <c r="J14" s="104"/>
      <c r="K14" s="7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2">
        <f>SUM(M14:X14)</f>
        <v>0</v>
      </c>
      <c r="Z14" s="45"/>
    </row>
    <row r="15" spans="1:26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7" t="e">
        <f t="shared" si="0"/>
        <v>#DIV/0!</v>
      </c>
      <c r="J15" s="104"/>
      <c r="K15" s="7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2">
        <f>SUM(M15:X15)</f>
        <v>0</v>
      </c>
      <c r="Z15" s="45"/>
    </row>
    <row r="16" spans="1:26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</f>
        <v>1113930.0799999998</v>
      </c>
      <c r="I16" s="17">
        <f t="shared" si="0"/>
        <v>17.68142984126984</v>
      </c>
      <c r="J16" s="104"/>
      <c r="K16" s="73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2"/>
      <c r="Z16" s="45"/>
    </row>
    <row r="17" spans="1:26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</f>
        <v>1132967</v>
      </c>
      <c r="I17" s="17">
        <f t="shared" si="0"/>
        <v>23.12177551020408</v>
      </c>
      <c r="J17" s="104"/>
      <c r="K17" s="7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2"/>
      <c r="Z17" s="45"/>
    </row>
    <row r="18" spans="1:26" ht="36.75" customHeight="1">
      <c r="A18" s="9"/>
      <c r="B18" s="10"/>
      <c r="C18" s="16" t="s">
        <v>11</v>
      </c>
      <c r="D18" s="75">
        <f t="shared" si="2"/>
        <v>250000</v>
      </c>
      <c r="E18" s="17">
        <v>250000</v>
      </c>
      <c r="F18" s="17"/>
      <c r="G18" s="17"/>
      <c r="H18" s="17"/>
      <c r="I18" s="84">
        <f t="shared" si="0"/>
        <v>0</v>
      </c>
      <c r="J18" s="104"/>
      <c r="K18" s="73"/>
      <c r="L18" s="67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2"/>
      <c r="Z18" s="45"/>
    </row>
    <row r="19" spans="1:26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</f>
        <v>1432817.4</v>
      </c>
      <c r="I19" s="17">
        <f t="shared" si="0"/>
        <v>14.09629002902258</v>
      </c>
      <c r="J19" s="105"/>
      <c r="K19" s="7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2">
        <f aca="true" t="shared" si="3" ref="Y19:Y86">SUM(M19:X19)</f>
        <v>0</v>
      </c>
      <c r="Z19" s="45"/>
    </row>
    <row r="20" spans="1:26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30938569.330000006</v>
      </c>
      <c r="I20" s="33">
        <f>H20/D20*100</f>
        <v>40.24953307058895</v>
      </c>
      <c r="J20" s="103">
        <f>(H20/(M20+N20+O20+P20))*100</f>
        <v>90.34196890427961</v>
      </c>
      <c r="K20" s="73"/>
      <c r="L20" s="42">
        <f>(M20+N20+O20+P20)-(H20)</f>
        <v>3307495.599999994</v>
      </c>
      <c r="M20" s="74">
        <v>3000000</v>
      </c>
      <c r="N20" s="74">
        <f>5940243.81+9000000</f>
        <v>14940243.809999999</v>
      </c>
      <c r="O20" s="74">
        <f>5940343.79-1600000+2065000</f>
        <v>6405343.79</v>
      </c>
      <c r="P20" s="74">
        <f>5821293.83-1600000+17488.5+5661695</f>
        <v>9900477.33</v>
      </c>
      <c r="Q20" s="74">
        <f>10274593.83-5800000</f>
        <v>4474593.83</v>
      </c>
      <c r="R20" s="74">
        <f>9097853.55-2065000-2661695</f>
        <v>4371158.550000001</v>
      </c>
      <c r="S20" s="77">
        <f>7537996.18+1346700-3000000</f>
        <v>5884696.18</v>
      </c>
      <c r="T20" s="77">
        <f>3600000+4000000</f>
        <v>7600000</v>
      </c>
      <c r="U20" s="77">
        <f>2203922.28+2000000+2000000+200000+120000+400</f>
        <v>6524322.279999999</v>
      </c>
      <c r="V20" s="74">
        <f>1400000+4000000</f>
        <v>5400000</v>
      </c>
      <c r="W20" s="74">
        <f>1300000+2000000+1000000</f>
        <v>4300000</v>
      </c>
      <c r="X20" s="74">
        <f>1390000+1576066.7+1000000+100000</f>
        <v>4066066.7</v>
      </c>
      <c r="Y20" s="42">
        <f t="shared" si="3"/>
        <v>76866902.47000001</v>
      </c>
      <c r="Z20" s="45">
        <f>Y20-D20</f>
        <v>0</v>
      </c>
    </row>
    <row r="21" spans="1:26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114006+331998.76+56510+62873+238344.54+631419+2322586+34370.27+174613.37</f>
        <v>3966720.94</v>
      </c>
      <c r="I21" s="21">
        <f aca="true" t="shared" si="5" ref="I21:I27">H21/D21*100</f>
        <v>13.911046958573372</v>
      </c>
      <c r="J21" s="104"/>
      <c r="K21" s="73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2">
        <f t="shared" si="3"/>
        <v>0</v>
      </c>
      <c r="Z21" s="45"/>
    </row>
    <row r="22" spans="1:26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/>
      <c r="I22" s="96">
        <f t="shared" si="5"/>
        <v>0</v>
      </c>
      <c r="J22" s="104"/>
      <c r="K22" s="73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2">
        <f t="shared" si="3"/>
        <v>0</v>
      </c>
      <c r="Z22" s="45"/>
    </row>
    <row r="23" spans="1:26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/>
      <c r="I23" s="96">
        <f t="shared" si="5"/>
        <v>0</v>
      </c>
      <c r="J23" s="104"/>
      <c r="K23" s="73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2">
        <f t="shared" si="3"/>
        <v>0</v>
      </c>
      <c r="Z23" s="45"/>
    </row>
    <row r="24" spans="1:26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</f>
        <v>544863.17</v>
      </c>
      <c r="I24" s="21">
        <f t="shared" si="5"/>
        <v>30.270176111111113</v>
      </c>
      <c r="J24" s="104"/>
      <c r="K24" s="73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1">
        <f t="shared" si="3"/>
        <v>0</v>
      </c>
      <c r="Z24" s="72"/>
    </row>
    <row r="25" spans="1:26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/>
      <c r="I25" s="96">
        <f t="shared" si="5"/>
        <v>0</v>
      </c>
      <c r="J25" s="104"/>
      <c r="K25" s="73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2">
        <f t="shared" si="3"/>
        <v>0</v>
      </c>
      <c r="Z25" s="45"/>
    </row>
    <row r="26" spans="1:26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</f>
        <v>393686.43</v>
      </c>
      <c r="I26" s="21">
        <f t="shared" si="5"/>
        <v>25.94325499896045</v>
      </c>
      <c r="J26" s="104"/>
      <c r="K26" s="73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2">
        <f t="shared" si="3"/>
        <v>0</v>
      </c>
      <c r="Z26" s="45"/>
    </row>
    <row r="27" spans="1:26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439827.18+2395357.39+26270+871602.96+519637+3866925.55+2570843.13+6291287.73+673745+651690+28388.01+273424.88+202223.55+934708.54+147500+3092371.24+405562.53+900173.68+1741760.42</f>
        <v>26033298.790000007</v>
      </c>
      <c r="I27" s="21">
        <f t="shared" si="5"/>
        <v>71.2567514056172</v>
      </c>
      <c r="J27" s="105"/>
      <c r="K27" s="73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2">
        <f t="shared" si="3"/>
        <v>0</v>
      </c>
      <c r="Z27" s="45"/>
    </row>
    <row r="28" spans="1:26" ht="18">
      <c r="A28" s="26"/>
      <c r="B28" s="27"/>
      <c r="C28" s="50" t="s">
        <v>35</v>
      </c>
      <c r="D28" s="51">
        <f>E28+F28</f>
        <v>37377890.95999999</v>
      </c>
      <c r="E28" s="21"/>
      <c r="F28" s="51">
        <f>G28</f>
        <v>37377890.95999999</v>
      </c>
      <c r="G28" s="51">
        <f>SUM(G29:G77)</f>
        <v>37377890.95999999</v>
      </c>
      <c r="H28" s="51">
        <f>SUM(H29:H77)</f>
        <v>1339000</v>
      </c>
      <c r="I28" s="51">
        <f>H28/D28*100</f>
        <v>3.582331601943333</v>
      </c>
      <c r="J28" s="66">
        <f>(H28/(M28+N28+O28+P28))*100</f>
        <v>14.716203947212755</v>
      </c>
      <c r="K28" s="73"/>
      <c r="L28" s="47">
        <f>(M28+N28+O28+P28)-H28</f>
        <v>7759813.83</v>
      </c>
      <c r="M28" s="82">
        <f>SUM(M29:M77)</f>
        <v>0</v>
      </c>
      <c r="N28" s="82">
        <f aca="true" t="shared" si="6" ref="N28:X28">SUM(N29:N77)</f>
        <v>750000</v>
      </c>
      <c r="O28" s="82">
        <f t="shared" si="6"/>
        <v>2990870.83</v>
      </c>
      <c r="P28" s="82">
        <f t="shared" si="6"/>
        <v>5357943</v>
      </c>
      <c r="Q28" s="82">
        <f t="shared" si="6"/>
        <v>562028</v>
      </c>
      <c r="R28" s="82">
        <f t="shared" si="6"/>
        <v>1600000</v>
      </c>
      <c r="S28" s="82">
        <f t="shared" si="6"/>
        <v>4381493</v>
      </c>
      <c r="T28" s="82">
        <f t="shared" si="6"/>
        <v>6633333</v>
      </c>
      <c r="U28" s="82">
        <f t="shared" si="6"/>
        <v>408334</v>
      </c>
      <c r="V28" s="82">
        <f t="shared" si="6"/>
        <v>7528986</v>
      </c>
      <c r="W28" s="82">
        <f t="shared" si="6"/>
        <v>3996825.87</v>
      </c>
      <c r="X28" s="82">
        <f t="shared" si="6"/>
        <v>3168077.26</v>
      </c>
      <c r="Y28" s="42">
        <f>SUM(M28:X28)</f>
        <v>37377890.95999999</v>
      </c>
      <c r="Z28" s="45">
        <f>Y28-D28</f>
        <v>0</v>
      </c>
    </row>
    <row r="29" spans="1:26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7" ref="F29:F64">G29</f>
        <v>1500000</v>
      </c>
      <c r="G29" s="53">
        <v>1500000</v>
      </c>
      <c r="H29" s="53">
        <f>59000</f>
        <v>59000</v>
      </c>
      <c r="I29" s="17">
        <f>H29/D29*100</f>
        <v>3.933333333333333</v>
      </c>
      <c r="J29" s="48">
        <f>(H29/(M29+N29+O29+P29))*100</f>
        <v>3.933333333333333</v>
      </c>
      <c r="K29" s="73"/>
      <c r="L29" s="42">
        <f>(M29+N29+O29+P29)-H29</f>
        <v>1441000</v>
      </c>
      <c r="M29" s="83"/>
      <c r="N29" s="83">
        <v>750000</v>
      </c>
      <c r="O29" s="83">
        <v>750000</v>
      </c>
      <c r="P29" s="83"/>
      <c r="Q29" s="83"/>
      <c r="R29" s="83"/>
      <c r="S29" s="83"/>
      <c r="T29" s="83"/>
      <c r="U29" s="83"/>
      <c r="V29" s="83"/>
      <c r="W29" s="83"/>
      <c r="X29" s="83"/>
      <c r="Y29" s="42">
        <f>SUM(M29:X29)</f>
        <v>1500000</v>
      </c>
      <c r="Z29" s="45">
        <f>Y29-D29</f>
        <v>0</v>
      </c>
    </row>
    <row r="30" spans="1:26" ht="18">
      <c r="A30" s="26"/>
      <c r="B30" s="27"/>
      <c r="C30" s="81" t="s">
        <v>45</v>
      </c>
      <c r="D30" s="17">
        <f aca="true" t="shared" si="8" ref="D30:D64">F30</f>
        <v>300000</v>
      </c>
      <c r="E30" s="17"/>
      <c r="F30" s="17">
        <f t="shared" si="7"/>
        <v>300000</v>
      </c>
      <c r="G30" s="17">
        <v>300000</v>
      </c>
      <c r="H30" s="53"/>
      <c r="I30" s="84">
        <f aca="true" t="shared" si="9" ref="I30:I77">H30/D30*100</f>
        <v>0</v>
      </c>
      <c r="J30" s="97">
        <f aca="true" t="shared" si="10" ref="J30:J77">(H30/(M30+N30+O30+P30))*100</f>
        <v>0</v>
      </c>
      <c r="K30" s="73"/>
      <c r="L30" s="42">
        <f aca="true" t="shared" si="11" ref="L30:L97">(M30+N30+O30+P30)-H30</f>
        <v>100000</v>
      </c>
      <c r="M30" s="83"/>
      <c r="N30" s="83"/>
      <c r="O30" s="83"/>
      <c r="P30" s="83">
        <v>100000</v>
      </c>
      <c r="Q30" s="83"/>
      <c r="R30" s="83">
        <v>100000</v>
      </c>
      <c r="S30" s="83">
        <v>100000</v>
      </c>
      <c r="T30" s="83"/>
      <c r="U30" s="83"/>
      <c r="V30" s="83"/>
      <c r="W30" s="83"/>
      <c r="X30" s="83"/>
      <c r="Y30" s="42">
        <f t="shared" si="3"/>
        <v>300000</v>
      </c>
      <c r="Z30" s="45">
        <f aca="true" t="shared" si="12" ref="Z30:Z97">Y30-D30</f>
        <v>0</v>
      </c>
    </row>
    <row r="31" spans="1:26" ht="18">
      <c r="A31" s="26"/>
      <c r="B31" s="27"/>
      <c r="C31" s="81" t="s">
        <v>46</v>
      </c>
      <c r="D31" s="17">
        <f t="shared" si="8"/>
        <v>3700000</v>
      </c>
      <c r="E31" s="17"/>
      <c r="F31" s="17">
        <f t="shared" si="7"/>
        <v>3700000</v>
      </c>
      <c r="G31" s="17">
        <v>3700000</v>
      </c>
      <c r="H31" s="53">
        <f>120000</f>
        <v>120000</v>
      </c>
      <c r="I31" s="17">
        <f t="shared" si="9"/>
        <v>3.2432432432432434</v>
      </c>
      <c r="J31" s="97">
        <f t="shared" si="10"/>
        <v>100</v>
      </c>
      <c r="K31" s="73"/>
      <c r="L31" s="42">
        <f t="shared" si="11"/>
        <v>0</v>
      </c>
      <c r="M31" s="83"/>
      <c r="N31" s="83"/>
      <c r="O31" s="83"/>
      <c r="P31" s="83">
        <v>120000</v>
      </c>
      <c r="Q31" s="83">
        <f>120000-39000+194</f>
        <v>81194</v>
      </c>
      <c r="R31" s="83"/>
      <c r="S31" s="83"/>
      <c r="T31" s="83">
        <v>1700000</v>
      </c>
      <c r="U31" s="83"/>
      <c r="V31" s="83">
        <f>1760000+39000-194-158820</f>
        <v>1639986</v>
      </c>
      <c r="W31" s="83">
        <v>134985.87</v>
      </c>
      <c r="X31" s="83">
        <v>23834.13</v>
      </c>
      <c r="Y31" s="42">
        <f t="shared" si="3"/>
        <v>3700000</v>
      </c>
      <c r="Z31" s="45">
        <f t="shared" si="12"/>
        <v>0</v>
      </c>
    </row>
    <row r="32" spans="1:26" ht="18">
      <c r="A32" s="26"/>
      <c r="B32" s="27"/>
      <c r="C32" s="81" t="s">
        <v>47</v>
      </c>
      <c r="D32" s="17">
        <f t="shared" si="8"/>
        <v>112000</v>
      </c>
      <c r="E32" s="17"/>
      <c r="F32" s="17">
        <f t="shared" si="7"/>
        <v>112000</v>
      </c>
      <c r="G32" s="17">
        <v>112000</v>
      </c>
      <c r="H32" s="53"/>
      <c r="I32" s="84">
        <f t="shared" si="9"/>
        <v>0</v>
      </c>
      <c r="J32" s="97">
        <f t="shared" si="10"/>
        <v>0</v>
      </c>
      <c r="K32" s="73"/>
      <c r="L32" s="42">
        <f t="shared" si="11"/>
        <v>112000</v>
      </c>
      <c r="M32" s="83"/>
      <c r="N32" s="83"/>
      <c r="O32" s="83"/>
      <c r="P32" s="83">
        <v>112000</v>
      </c>
      <c r="Q32" s="83"/>
      <c r="R32" s="83"/>
      <c r="S32" s="83"/>
      <c r="T32" s="83"/>
      <c r="U32" s="83"/>
      <c r="V32" s="83"/>
      <c r="W32" s="83"/>
      <c r="X32" s="83"/>
      <c r="Y32" s="42">
        <f t="shared" si="3"/>
        <v>112000</v>
      </c>
      <c r="Z32" s="45">
        <f t="shared" si="12"/>
        <v>0</v>
      </c>
    </row>
    <row r="33" spans="1:26" ht="18">
      <c r="A33" s="26"/>
      <c r="B33" s="27"/>
      <c r="C33" s="81" t="s">
        <v>48</v>
      </c>
      <c r="D33" s="17">
        <f t="shared" si="8"/>
        <v>1490000</v>
      </c>
      <c r="E33" s="17"/>
      <c r="F33" s="17">
        <f t="shared" si="7"/>
        <v>1490000</v>
      </c>
      <c r="G33" s="17">
        <v>1490000</v>
      </c>
      <c r="H33" s="53"/>
      <c r="I33" s="84">
        <f t="shared" si="9"/>
        <v>0</v>
      </c>
      <c r="J33" s="97">
        <f t="shared" si="10"/>
        <v>0</v>
      </c>
      <c r="K33" s="73"/>
      <c r="L33" s="42">
        <f t="shared" si="11"/>
        <v>80000</v>
      </c>
      <c r="M33" s="83"/>
      <c r="N33" s="83"/>
      <c r="O33" s="83"/>
      <c r="P33" s="83">
        <v>80000</v>
      </c>
      <c r="Q33" s="83"/>
      <c r="R33" s="83"/>
      <c r="S33" s="83"/>
      <c r="T33" s="83"/>
      <c r="U33" s="83"/>
      <c r="V33" s="83"/>
      <c r="W33" s="83">
        <v>1000000</v>
      </c>
      <c r="X33" s="83">
        <v>410000</v>
      </c>
      <c r="Y33" s="42">
        <f t="shared" si="3"/>
        <v>1490000</v>
      </c>
      <c r="Z33" s="45">
        <f t="shared" si="12"/>
        <v>0</v>
      </c>
    </row>
    <row r="34" spans="1:26" ht="18">
      <c r="A34" s="26"/>
      <c r="B34" s="27"/>
      <c r="C34" s="81" t="s">
        <v>49</v>
      </c>
      <c r="D34" s="17">
        <f t="shared" si="8"/>
        <v>375000</v>
      </c>
      <c r="E34" s="17"/>
      <c r="F34" s="17">
        <f t="shared" si="7"/>
        <v>375000</v>
      </c>
      <c r="G34" s="17">
        <v>375000</v>
      </c>
      <c r="H34" s="53"/>
      <c r="I34" s="84">
        <f t="shared" si="9"/>
        <v>0</v>
      </c>
      <c r="J34" s="97">
        <f t="shared" si="10"/>
        <v>0</v>
      </c>
      <c r="K34" s="73"/>
      <c r="L34" s="42">
        <f t="shared" si="11"/>
        <v>50000</v>
      </c>
      <c r="M34" s="83"/>
      <c r="N34" s="83"/>
      <c r="O34" s="83"/>
      <c r="P34" s="83">
        <v>50000</v>
      </c>
      <c r="Q34" s="83"/>
      <c r="R34" s="83"/>
      <c r="S34" s="83"/>
      <c r="T34" s="83"/>
      <c r="U34" s="83"/>
      <c r="V34" s="83"/>
      <c r="W34" s="83">
        <v>325000</v>
      </c>
      <c r="X34" s="83"/>
      <c r="Y34" s="42">
        <f t="shared" si="3"/>
        <v>375000</v>
      </c>
      <c r="Z34" s="45">
        <f t="shared" si="12"/>
        <v>0</v>
      </c>
    </row>
    <row r="35" spans="1:26" ht="18">
      <c r="A35" s="26"/>
      <c r="B35" s="27"/>
      <c r="C35" s="81" t="s">
        <v>50</v>
      </c>
      <c r="D35" s="17">
        <f t="shared" si="8"/>
        <v>375000</v>
      </c>
      <c r="E35" s="17"/>
      <c r="F35" s="17">
        <f t="shared" si="7"/>
        <v>375000</v>
      </c>
      <c r="G35" s="17">
        <v>375000</v>
      </c>
      <c r="H35" s="53"/>
      <c r="I35" s="84">
        <f t="shared" si="9"/>
        <v>0</v>
      </c>
      <c r="J35" s="97">
        <f t="shared" si="10"/>
        <v>0</v>
      </c>
      <c r="K35" s="73"/>
      <c r="L35" s="42">
        <f t="shared" si="11"/>
        <v>50000</v>
      </c>
      <c r="M35" s="83"/>
      <c r="N35" s="83"/>
      <c r="O35" s="83"/>
      <c r="P35" s="83">
        <v>50000</v>
      </c>
      <c r="Q35" s="83"/>
      <c r="R35" s="83"/>
      <c r="S35" s="83"/>
      <c r="T35" s="83"/>
      <c r="U35" s="83"/>
      <c r="V35" s="83"/>
      <c r="W35" s="83">
        <v>325000</v>
      </c>
      <c r="X35" s="83"/>
      <c r="Y35" s="42">
        <f t="shared" si="3"/>
        <v>375000</v>
      </c>
      <c r="Z35" s="45">
        <f t="shared" si="12"/>
        <v>0</v>
      </c>
    </row>
    <row r="36" spans="1:26" ht="18">
      <c r="A36" s="26"/>
      <c r="B36" s="27"/>
      <c r="C36" s="81" t="s">
        <v>51</v>
      </c>
      <c r="D36" s="17">
        <f t="shared" si="8"/>
        <v>1490000</v>
      </c>
      <c r="E36" s="17"/>
      <c r="F36" s="17">
        <f t="shared" si="7"/>
        <v>1490000</v>
      </c>
      <c r="G36" s="17">
        <v>1490000</v>
      </c>
      <c r="H36" s="53"/>
      <c r="I36" s="84">
        <f t="shared" si="9"/>
        <v>0</v>
      </c>
      <c r="J36" s="97">
        <f t="shared" si="10"/>
        <v>0</v>
      </c>
      <c r="K36" s="73"/>
      <c r="L36" s="42">
        <f t="shared" si="11"/>
        <v>100000</v>
      </c>
      <c r="M36" s="83"/>
      <c r="N36" s="83"/>
      <c r="O36" s="83"/>
      <c r="P36" s="83">
        <v>100000</v>
      </c>
      <c r="Q36" s="83"/>
      <c r="R36" s="83"/>
      <c r="S36" s="83"/>
      <c r="T36" s="83"/>
      <c r="U36" s="83"/>
      <c r="V36" s="83"/>
      <c r="W36" s="83">
        <v>1000000</v>
      </c>
      <c r="X36" s="83">
        <v>390000</v>
      </c>
      <c r="Y36" s="42">
        <f t="shared" si="3"/>
        <v>1490000</v>
      </c>
      <c r="Z36" s="45">
        <f t="shared" si="12"/>
        <v>0</v>
      </c>
    </row>
    <row r="37" spans="1:26" ht="18">
      <c r="A37" s="26"/>
      <c r="B37" s="27"/>
      <c r="C37" s="81" t="s">
        <v>52</v>
      </c>
      <c r="D37" s="17">
        <f t="shared" si="8"/>
        <v>1400000</v>
      </c>
      <c r="E37" s="17"/>
      <c r="F37" s="17">
        <f t="shared" si="7"/>
        <v>1400000</v>
      </c>
      <c r="G37" s="17">
        <v>1400000</v>
      </c>
      <c r="H37" s="53"/>
      <c r="I37" s="84">
        <f t="shared" si="9"/>
        <v>0</v>
      </c>
      <c r="J37" s="97">
        <f t="shared" si="10"/>
        <v>0</v>
      </c>
      <c r="K37" s="73"/>
      <c r="L37" s="42">
        <f t="shared" si="11"/>
        <v>50000</v>
      </c>
      <c r="M37" s="83"/>
      <c r="N37" s="83"/>
      <c r="O37" s="83"/>
      <c r="P37" s="83">
        <v>50000</v>
      </c>
      <c r="Q37" s="83"/>
      <c r="R37" s="83"/>
      <c r="S37" s="83"/>
      <c r="T37" s="83"/>
      <c r="U37" s="83"/>
      <c r="V37" s="83"/>
      <c r="W37" s="83">
        <v>1000000</v>
      </c>
      <c r="X37" s="83">
        <v>350000</v>
      </c>
      <c r="Y37" s="42">
        <f t="shared" si="3"/>
        <v>1400000</v>
      </c>
      <c r="Z37" s="45">
        <f t="shared" si="12"/>
        <v>0</v>
      </c>
    </row>
    <row r="38" spans="1:26" ht="18">
      <c r="A38" s="26"/>
      <c r="B38" s="27"/>
      <c r="C38" s="81" t="s">
        <v>53</v>
      </c>
      <c r="D38" s="17">
        <f t="shared" si="8"/>
        <v>400000</v>
      </c>
      <c r="E38" s="17"/>
      <c r="F38" s="17">
        <f t="shared" si="7"/>
        <v>400000</v>
      </c>
      <c r="G38" s="17">
        <v>400000</v>
      </c>
      <c r="H38" s="53"/>
      <c r="I38" s="84">
        <f t="shared" si="9"/>
        <v>0</v>
      </c>
      <c r="J38" s="97">
        <f t="shared" si="10"/>
        <v>0</v>
      </c>
      <c r="K38" s="73"/>
      <c r="L38" s="42">
        <f t="shared" si="11"/>
        <v>45000</v>
      </c>
      <c r="M38" s="83"/>
      <c r="N38" s="83"/>
      <c r="O38" s="83"/>
      <c r="P38" s="83">
        <v>45000</v>
      </c>
      <c r="Q38" s="83"/>
      <c r="R38" s="83"/>
      <c r="S38" s="83">
        <v>250000</v>
      </c>
      <c r="T38" s="83"/>
      <c r="U38" s="83"/>
      <c r="V38" s="83">
        <v>105000</v>
      </c>
      <c r="W38" s="83"/>
      <c r="X38" s="83"/>
      <c r="Y38" s="42">
        <f t="shared" si="3"/>
        <v>400000</v>
      </c>
      <c r="Z38" s="45">
        <f t="shared" si="12"/>
        <v>0</v>
      </c>
    </row>
    <row r="39" spans="1:26" ht="18">
      <c r="A39" s="26"/>
      <c r="B39" s="27"/>
      <c r="C39" s="81" t="s">
        <v>54</v>
      </c>
      <c r="D39" s="17">
        <f t="shared" si="8"/>
        <v>1490000</v>
      </c>
      <c r="E39" s="17"/>
      <c r="F39" s="17">
        <f t="shared" si="7"/>
        <v>1490000</v>
      </c>
      <c r="G39" s="17">
        <v>1490000</v>
      </c>
      <c r="H39" s="53"/>
      <c r="I39" s="84">
        <f t="shared" si="9"/>
        <v>0</v>
      </c>
      <c r="J39" s="97">
        <f t="shared" si="10"/>
        <v>0</v>
      </c>
      <c r="K39" s="73"/>
      <c r="L39" s="42">
        <f t="shared" si="11"/>
        <v>60000</v>
      </c>
      <c r="M39" s="83"/>
      <c r="N39" s="83"/>
      <c r="O39" s="83"/>
      <c r="P39" s="83">
        <v>60000</v>
      </c>
      <c r="Q39" s="83"/>
      <c r="R39" s="83"/>
      <c r="S39" s="83"/>
      <c r="T39" s="83"/>
      <c r="U39" s="83"/>
      <c r="V39" s="83">
        <v>1000000</v>
      </c>
      <c r="W39" s="83"/>
      <c r="X39" s="83">
        <v>430000</v>
      </c>
      <c r="Y39" s="42">
        <f t="shared" si="3"/>
        <v>1490000</v>
      </c>
      <c r="Z39" s="45">
        <f t="shared" si="12"/>
        <v>0</v>
      </c>
    </row>
    <row r="40" spans="1:26" ht="18">
      <c r="A40" s="26"/>
      <c r="B40" s="27"/>
      <c r="C40" s="81" t="s">
        <v>55</v>
      </c>
      <c r="D40" s="17">
        <f t="shared" si="8"/>
        <v>760000</v>
      </c>
      <c r="E40" s="17"/>
      <c r="F40" s="17">
        <f t="shared" si="7"/>
        <v>760000</v>
      </c>
      <c r="G40" s="17">
        <v>760000</v>
      </c>
      <c r="H40" s="51"/>
      <c r="I40" s="84">
        <f t="shared" si="9"/>
        <v>0</v>
      </c>
      <c r="J40" s="97">
        <f t="shared" si="10"/>
        <v>0</v>
      </c>
      <c r="K40" s="73"/>
      <c r="L40" s="42">
        <f t="shared" si="11"/>
        <v>70000</v>
      </c>
      <c r="M40" s="83"/>
      <c r="N40" s="83"/>
      <c r="O40" s="83"/>
      <c r="P40" s="83">
        <v>70000</v>
      </c>
      <c r="Q40" s="83"/>
      <c r="R40" s="83"/>
      <c r="S40" s="83">
        <v>400000</v>
      </c>
      <c r="T40" s="83"/>
      <c r="U40" s="83"/>
      <c r="V40" s="83">
        <v>290000</v>
      </c>
      <c r="W40" s="83"/>
      <c r="X40" s="83"/>
      <c r="Y40" s="42">
        <f t="shared" si="3"/>
        <v>760000</v>
      </c>
      <c r="Z40" s="45">
        <f t="shared" si="12"/>
        <v>0</v>
      </c>
    </row>
    <row r="41" spans="1:26" ht="18">
      <c r="A41" s="26"/>
      <c r="B41" s="27"/>
      <c r="C41" s="81" t="s">
        <v>56</v>
      </c>
      <c r="D41" s="17">
        <f t="shared" si="8"/>
        <v>360834</v>
      </c>
      <c r="E41" s="17"/>
      <c r="F41" s="17">
        <f t="shared" si="7"/>
        <v>360834</v>
      </c>
      <c r="G41" s="17">
        <v>360834</v>
      </c>
      <c r="H41" s="51"/>
      <c r="I41" s="84">
        <f t="shared" si="9"/>
        <v>0</v>
      </c>
      <c r="J41" s="97" t="e">
        <f t="shared" si="10"/>
        <v>#DIV/0!</v>
      </c>
      <c r="K41" s="73"/>
      <c r="L41" s="42">
        <f t="shared" si="11"/>
        <v>0</v>
      </c>
      <c r="M41" s="83"/>
      <c r="N41" s="83"/>
      <c r="O41" s="83"/>
      <c r="P41" s="83"/>
      <c r="Q41" s="83">
        <v>360834</v>
      </c>
      <c r="R41" s="83"/>
      <c r="S41" s="83"/>
      <c r="T41" s="83"/>
      <c r="U41" s="83"/>
      <c r="V41" s="83"/>
      <c r="W41" s="83"/>
      <c r="X41" s="83"/>
      <c r="Y41" s="42">
        <f t="shared" si="3"/>
        <v>360834</v>
      </c>
      <c r="Z41" s="45">
        <f t="shared" si="12"/>
        <v>0</v>
      </c>
    </row>
    <row r="42" spans="1:26" ht="18">
      <c r="A42" s="26"/>
      <c r="B42" s="27"/>
      <c r="C42" s="81" t="s">
        <v>57</v>
      </c>
      <c r="D42" s="17">
        <f t="shared" si="8"/>
        <v>300000</v>
      </c>
      <c r="E42" s="17"/>
      <c r="F42" s="17">
        <f t="shared" si="7"/>
        <v>300000</v>
      </c>
      <c r="G42" s="17">
        <v>300000</v>
      </c>
      <c r="H42" s="51"/>
      <c r="I42" s="84">
        <f t="shared" si="9"/>
        <v>0</v>
      </c>
      <c r="J42" s="97">
        <f t="shared" si="10"/>
        <v>0</v>
      </c>
      <c r="K42" s="73"/>
      <c r="L42" s="42">
        <f t="shared" si="11"/>
        <v>40000</v>
      </c>
      <c r="M42" s="83"/>
      <c r="N42" s="83"/>
      <c r="O42" s="83"/>
      <c r="P42" s="83">
        <v>40000</v>
      </c>
      <c r="Q42" s="83"/>
      <c r="R42" s="83"/>
      <c r="S42" s="83">
        <v>260000</v>
      </c>
      <c r="T42" s="83"/>
      <c r="U42" s="83"/>
      <c r="V42" s="83"/>
      <c r="W42" s="83"/>
      <c r="X42" s="83"/>
      <c r="Y42" s="42">
        <f t="shared" si="3"/>
        <v>300000</v>
      </c>
      <c r="Z42" s="45">
        <f t="shared" si="12"/>
        <v>0</v>
      </c>
    </row>
    <row r="43" spans="1:26" ht="18">
      <c r="A43" s="26"/>
      <c r="B43" s="27"/>
      <c r="C43" s="81" t="s">
        <v>58</v>
      </c>
      <c r="D43" s="17">
        <f t="shared" si="8"/>
        <v>1490000</v>
      </c>
      <c r="E43" s="17"/>
      <c r="F43" s="17">
        <f t="shared" si="7"/>
        <v>1490000</v>
      </c>
      <c r="G43" s="17">
        <v>1490000</v>
      </c>
      <c r="H43" s="51"/>
      <c r="I43" s="84">
        <f t="shared" si="9"/>
        <v>0</v>
      </c>
      <c r="J43" s="97">
        <f t="shared" si="10"/>
        <v>0</v>
      </c>
      <c r="K43" s="73"/>
      <c r="L43" s="42">
        <f t="shared" si="11"/>
        <v>115000</v>
      </c>
      <c r="M43" s="83"/>
      <c r="N43" s="83"/>
      <c r="O43" s="83"/>
      <c r="P43" s="83">
        <v>115000</v>
      </c>
      <c r="Q43" s="83"/>
      <c r="R43" s="83"/>
      <c r="S43" s="83"/>
      <c r="T43" s="83"/>
      <c r="U43" s="83"/>
      <c r="V43" s="83">
        <v>1000000</v>
      </c>
      <c r="W43" s="83"/>
      <c r="X43" s="83">
        <v>375000</v>
      </c>
      <c r="Y43" s="42">
        <f t="shared" si="3"/>
        <v>1490000</v>
      </c>
      <c r="Z43" s="45">
        <f t="shared" si="12"/>
        <v>0</v>
      </c>
    </row>
    <row r="44" spans="1:26" ht="18">
      <c r="A44" s="26"/>
      <c r="B44" s="27"/>
      <c r="C44" s="81" t="s">
        <v>59</v>
      </c>
      <c r="D44" s="17">
        <f t="shared" si="8"/>
        <v>760000</v>
      </c>
      <c r="E44" s="17"/>
      <c r="F44" s="17">
        <f t="shared" si="7"/>
        <v>760000</v>
      </c>
      <c r="G44" s="17">
        <v>760000</v>
      </c>
      <c r="H44" s="51"/>
      <c r="I44" s="84">
        <f t="shared" si="9"/>
        <v>0</v>
      </c>
      <c r="J44" s="97">
        <f t="shared" si="10"/>
        <v>0</v>
      </c>
      <c r="K44" s="73"/>
      <c r="L44" s="42">
        <f t="shared" si="11"/>
        <v>66000</v>
      </c>
      <c r="M44" s="83"/>
      <c r="N44" s="83"/>
      <c r="O44" s="83"/>
      <c r="P44" s="83">
        <v>66000</v>
      </c>
      <c r="Q44" s="83"/>
      <c r="R44" s="83"/>
      <c r="S44" s="83">
        <v>400000</v>
      </c>
      <c r="T44" s="83"/>
      <c r="U44" s="83"/>
      <c r="V44" s="83">
        <v>294000</v>
      </c>
      <c r="W44" s="83"/>
      <c r="X44" s="83"/>
      <c r="Y44" s="42">
        <f t="shared" si="3"/>
        <v>760000</v>
      </c>
      <c r="Z44" s="45">
        <f t="shared" si="12"/>
        <v>0</v>
      </c>
    </row>
    <row r="45" spans="1:26" ht="18">
      <c r="A45" s="26"/>
      <c r="B45" s="27"/>
      <c r="C45" s="81" t="s">
        <v>60</v>
      </c>
      <c r="D45" s="17">
        <f t="shared" si="8"/>
        <v>3709</v>
      </c>
      <c r="E45" s="17"/>
      <c r="F45" s="17">
        <f t="shared" si="7"/>
        <v>3709</v>
      </c>
      <c r="G45" s="17">
        <v>3709</v>
      </c>
      <c r="H45" s="51"/>
      <c r="I45" s="84">
        <f t="shared" si="9"/>
        <v>0</v>
      </c>
      <c r="J45" s="97">
        <f t="shared" si="10"/>
        <v>0</v>
      </c>
      <c r="K45" s="73"/>
      <c r="L45" s="42">
        <f t="shared" si="11"/>
        <v>3709</v>
      </c>
      <c r="M45" s="83"/>
      <c r="N45" s="83"/>
      <c r="O45" s="83">
        <v>3709</v>
      </c>
      <c r="P45" s="83"/>
      <c r="Q45" s="83"/>
      <c r="R45" s="83"/>
      <c r="S45" s="83"/>
      <c r="T45" s="83"/>
      <c r="U45" s="83"/>
      <c r="V45" s="83"/>
      <c r="W45" s="83"/>
      <c r="X45" s="83"/>
      <c r="Y45" s="42">
        <f t="shared" si="3"/>
        <v>3709</v>
      </c>
      <c r="Z45" s="45">
        <f t="shared" si="12"/>
        <v>0</v>
      </c>
    </row>
    <row r="46" spans="1:26" ht="18">
      <c r="A46" s="26"/>
      <c r="B46" s="27"/>
      <c r="C46" s="81" t="s">
        <v>61</v>
      </c>
      <c r="D46" s="17">
        <f t="shared" si="8"/>
        <v>550000</v>
      </c>
      <c r="E46" s="17"/>
      <c r="F46" s="17">
        <f t="shared" si="7"/>
        <v>550000</v>
      </c>
      <c r="G46" s="17">
        <v>550000</v>
      </c>
      <c r="H46" s="51"/>
      <c r="I46" s="84">
        <f t="shared" si="9"/>
        <v>0</v>
      </c>
      <c r="J46" s="97">
        <f t="shared" si="10"/>
        <v>0</v>
      </c>
      <c r="K46" s="73"/>
      <c r="L46" s="42">
        <f t="shared" si="11"/>
        <v>45000</v>
      </c>
      <c r="M46" s="83"/>
      <c r="N46" s="83"/>
      <c r="O46" s="83"/>
      <c r="P46" s="83">
        <v>45000</v>
      </c>
      <c r="Q46" s="83"/>
      <c r="R46" s="83"/>
      <c r="S46" s="83">
        <v>350000</v>
      </c>
      <c r="T46" s="83"/>
      <c r="U46" s="83"/>
      <c r="V46" s="83">
        <v>155000</v>
      </c>
      <c r="W46" s="83"/>
      <c r="X46" s="83"/>
      <c r="Y46" s="42">
        <f t="shared" si="3"/>
        <v>550000</v>
      </c>
      <c r="Z46" s="45">
        <f t="shared" si="12"/>
        <v>0</v>
      </c>
    </row>
    <row r="47" spans="1:26" ht="18">
      <c r="A47" s="26"/>
      <c r="B47" s="27"/>
      <c r="C47" s="81" t="s">
        <v>62</v>
      </c>
      <c r="D47" s="17">
        <f t="shared" si="8"/>
        <v>1430000</v>
      </c>
      <c r="E47" s="17"/>
      <c r="F47" s="17">
        <f t="shared" si="7"/>
        <v>1430000</v>
      </c>
      <c r="G47" s="17">
        <v>1430000</v>
      </c>
      <c r="H47" s="17">
        <f>970000</f>
        <v>970000</v>
      </c>
      <c r="I47" s="75">
        <f t="shared" si="9"/>
        <v>67.83216783216784</v>
      </c>
      <c r="J47" s="97">
        <f t="shared" si="10"/>
        <v>97</v>
      </c>
      <c r="K47" s="73"/>
      <c r="L47" s="42">
        <f t="shared" si="11"/>
        <v>30000</v>
      </c>
      <c r="M47" s="83"/>
      <c r="N47" s="83"/>
      <c r="O47" s="83">
        <v>1000000</v>
      </c>
      <c r="P47" s="83"/>
      <c r="Q47" s="83"/>
      <c r="R47" s="83"/>
      <c r="S47" s="83">
        <v>430000</v>
      </c>
      <c r="T47" s="83"/>
      <c r="U47" s="83"/>
      <c r="V47" s="83"/>
      <c r="W47" s="83"/>
      <c r="X47" s="83"/>
      <c r="Y47" s="42">
        <f t="shared" si="3"/>
        <v>1430000</v>
      </c>
      <c r="Z47" s="45">
        <f t="shared" si="12"/>
        <v>0</v>
      </c>
    </row>
    <row r="48" spans="1:26" ht="18">
      <c r="A48" s="26"/>
      <c r="B48" s="27"/>
      <c r="C48" s="81" t="s">
        <v>63</v>
      </c>
      <c r="D48" s="17">
        <f t="shared" si="8"/>
        <v>242416.83</v>
      </c>
      <c r="E48" s="17"/>
      <c r="F48" s="17">
        <f t="shared" si="7"/>
        <v>242416.83</v>
      </c>
      <c r="G48" s="17">
        <f>240000+2416.83</f>
        <v>242416.83</v>
      </c>
      <c r="H48" s="51"/>
      <c r="I48" s="84">
        <f t="shared" si="9"/>
        <v>0</v>
      </c>
      <c r="J48" s="97">
        <f t="shared" si="10"/>
        <v>0</v>
      </c>
      <c r="K48" s="73"/>
      <c r="L48" s="42">
        <f t="shared" si="11"/>
        <v>242416.83</v>
      </c>
      <c r="M48" s="83"/>
      <c r="N48" s="83"/>
      <c r="O48" s="83">
        <v>2416.83</v>
      </c>
      <c r="P48" s="83">
        <v>240000</v>
      </c>
      <c r="Q48" s="83"/>
      <c r="R48" s="83"/>
      <c r="S48" s="83"/>
      <c r="T48" s="83"/>
      <c r="U48" s="83"/>
      <c r="V48" s="83"/>
      <c r="W48" s="83"/>
      <c r="X48" s="83"/>
      <c r="Y48" s="42">
        <f t="shared" si="3"/>
        <v>242416.83</v>
      </c>
      <c r="Z48" s="45">
        <f t="shared" si="12"/>
        <v>0</v>
      </c>
    </row>
    <row r="49" spans="1:26" ht="18">
      <c r="A49" s="26"/>
      <c r="B49" s="27"/>
      <c r="C49" s="81" t="s">
        <v>64</v>
      </c>
      <c r="D49" s="17">
        <f t="shared" si="8"/>
        <v>1450000</v>
      </c>
      <c r="E49" s="17"/>
      <c r="F49" s="17">
        <f t="shared" si="7"/>
        <v>1450000</v>
      </c>
      <c r="G49" s="17">
        <v>1450000</v>
      </c>
      <c r="H49" s="51"/>
      <c r="I49" s="84">
        <f t="shared" si="9"/>
        <v>0</v>
      </c>
      <c r="J49" s="97">
        <f t="shared" si="10"/>
        <v>0</v>
      </c>
      <c r="K49" s="73"/>
      <c r="L49" s="42">
        <f t="shared" si="11"/>
        <v>115000</v>
      </c>
      <c r="M49" s="83"/>
      <c r="N49" s="83"/>
      <c r="O49" s="83"/>
      <c r="P49" s="83">
        <v>115000</v>
      </c>
      <c r="Q49" s="83"/>
      <c r="R49" s="83"/>
      <c r="S49" s="83"/>
      <c r="T49" s="83">
        <v>1000000</v>
      </c>
      <c r="U49" s="83"/>
      <c r="V49" s="83">
        <v>335000</v>
      </c>
      <c r="W49" s="83"/>
      <c r="X49" s="83"/>
      <c r="Y49" s="42">
        <f t="shared" si="3"/>
        <v>1450000</v>
      </c>
      <c r="Z49" s="45">
        <f t="shared" si="12"/>
        <v>0</v>
      </c>
    </row>
    <row r="50" spans="1:26" ht="36">
      <c r="A50" s="26"/>
      <c r="B50" s="27"/>
      <c r="C50" s="81" t="s">
        <v>65</v>
      </c>
      <c r="D50" s="17">
        <f t="shared" si="8"/>
        <v>2500000</v>
      </c>
      <c r="E50" s="17"/>
      <c r="F50" s="17">
        <f t="shared" si="7"/>
        <v>2500000</v>
      </c>
      <c r="G50" s="17">
        <v>2500000</v>
      </c>
      <c r="H50" s="53">
        <f>120000</f>
        <v>120000</v>
      </c>
      <c r="I50" s="75">
        <f t="shared" si="9"/>
        <v>4.8</v>
      </c>
      <c r="J50" s="97">
        <f t="shared" si="10"/>
        <v>100</v>
      </c>
      <c r="K50" s="73"/>
      <c r="L50" s="42">
        <f t="shared" si="11"/>
        <v>0</v>
      </c>
      <c r="M50" s="83"/>
      <c r="N50" s="83"/>
      <c r="O50" s="83"/>
      <c r="P50" s="83">
        <v>120000</v>
      </c>
      <c r="Q50" s="83">
        <v>120000</v>
      </c>
      <c r="R50" s="83">
        <v>800000</v>
      </c>
      <c r="S50" s="83"/>
      <c r="T50" s="83">
        <v>700000</v>
      </c>
      <c r="U50" s="83"/>
      <c r="V50" s="83">
        <v>760000</v>
      </c>
      <c r="W50" s="83"/>
      <c r="X50" s="83"/>
      <c r="Y50" s="42">
        <f t="shared" si="3"/>
        <v>2500000</v>
      </c>
      <c r="Z50" s="45">
        <f t="shared" si="12"/>
        <v>0</v>
      </c>
    </row>
    <row r="51" spans="1:26" ht="36">
      <c r="A51" s="26"/>
      <c r="B51" s="27"/>
      <c r="C51" s="81" t="s">
        <v>66</v>
      </c>
      <c r="D51" s="17">
        <f t="shared" si="8"/>
        <v>134745</v>
      </c>
      <c r="E51" s="17"/>
      <c r="F51" s="17">
        <f t="shared" si="7"/>
        <v>134745</v>
      </c>
      <c r="G51" s="17">
        <v>134745</v>
      </c>
      <c r="H51" s="53"/>
      <c r="I51" s="84">
        <f t="shared" si="9"/>
        <v>0</v>
      </c>
      <c r="J51" s="97">
        <f t="shared" si="10"/>
        <v>0</v>
      </c>
      <c r="K51" s="73"/>
      <c r="L51" s="42">
        <f t="shared" si="11"/>
        <v>134745</v>
      </c>
      <c r="M51" s="83"/>
      <c r="N51" s="83"/>
      <c r="O51" s="83">
        <v>134745</v>
      </c>
      <c r="P51" s="83"/>
      <c r="Q51" s="83"/>
      <c r="R51" s="83"/>
      <c r="S51" s="83"/>
      <c r="T51" s="83"/>
      <c r="U51" s="83"/>
      <c r="V51" s="83"/>
      <c r="W51" s="83"/>
      <c r="X51" s="83"/>
      <c r="Y51" s="42">
        <f t="shared" si="3"/>
        <v>134745</v>
      </c>
      <c r="Z51" s="45">
        <f t="shared" si="12"/>
        <v>0</v>
      </c>
    </row>
    <row r="52" spans="1:26" ht="18">
      <c r="A52" s="26"/>
      <c r="B52" s="27"/>
      <c r="C52" s="81" t="s">
        <v>102</v>
      </c>
      <c r="D52" s="17">
        <f>F52</f>
        <v>644243.13</v>
      </c>
      <c r="E52" s="17"/>
      <c r="F52" s="17">
        <f>G52</f>
        <v>644243.13</v>
      </c>
      <c r="G52" s="17">
        <v>644243.13</v>
      </c>
      <c r="H52" s="53"/>
      <c r="I52" s="84"/>
      <c r="J52" s="97" t="e">
        <f t="shared" si="10"/>
        <v>#DIV/0!</v>
      </c>
      <c r="K52" s="73"/>
      <c r="L52" s="42">
        <f t="shared" si="11"/>
        <v>0</v>
      </c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>
        <v>644243.13</v>
      </c>
      <c r="Y52" s="42">
        <f t="shared" si="3"/>
        <v>644243.13</v>
      </c>
      <c r="Z52" s="45">
        <f t="shared" si="12"/>
        <v>0</v>
      </c>
    </row>
    <row r="53" spans="1:26" ht="18">
      <c r="A53" s="26"/>
      <c r="B53" s="27"/>
      <c r="C53" s="81" t="s">
        <v>103</v>
      </c>
      <c r="D53" s="17">
        <f>F53</f>
        <v>2235645.64</v>
      </c>
      <c r="E53" s="17"/>
      <c r="F53" s="17">
        <f>G53</f>
        <v>2235645.64</v>
      </c>
      <c r="G53" s="17">
        <v>2235645.64</v>
      </c>
      <c r="H53" s="53"/>
      <c r="I53" s="84"/>
      <c r="J53" s="97">
        <f t="shared" si="10"/>
        <v>0</v>
      </c>
      <c r="K53" s="73"/>
      <c r="L53" s="42">
        <f t="shared" si="11"/>
        <v>800000</v>
      </c>
      <c r="M53" s="83"/>
      <c r="N53" s="83"/>
      <c r="O53" s="83"/>
      <c r="P53" s="83">
        <f>800000</f>
        <v>800000</v>
      </c>
      <c r="Q53" s="83"/>
      <c r="R53" s="83"/>
      <c r="S53" s="83">
        <f>833333</f>
        <v>833333</v>
      </c>
      <c r="T53" s="83">
        <f>602312.64</f>
        <v>602312.64</v>
      </c>
      <c r="U53" s="83"/>
      <c r="V53" s="83"/>
      <c r="W53" s="83"/>
      <c r="X53" s="83"/>
      <c r="Y53" s="42">
        <f t="shared" si="3"/>
        <v>2235645.64</v>
      </c>
      <c r="Z53" s="45">
        <f t="shared" si="12"/>
        <v>0</v>
      </c>
    </row>
    <row r="54" spans="1:26" ht="18">
      <c r="A54" s="26"/>
      <c r="B54" s="27"/>
      <c r="C54" s="81" t="s">
        <v>104</v>
      </c>
      <c r="D54" s="17">
        <f>F54</f>
        <v>1564354.36</v>
      </c>
      <c r="E54" s="17"/>
      <c r="F54" s="17">
        <f>G54</f>
        <v>1564354.36</v>
      </c>
      <c r="G54" s="17">
        <v>1564354.36</v>
      </c>
      <c r="H54" s="53"/>
      <c r="I54" s="84"/>
      <c r="J54" s="97">
        <f t="shared" si="10"/>
        <v>0</v>
      </c>
      <c r="K54" s="73"/>
      <c r="L54" s="42">
        <f t="shared" si="11"/>
        <v>1100000</v>
      </c>
      <c r="M54" s="83"/>
      <c r="N54" s="83"/>
      <c r="O54" s="83"/>
      <c r="P54" s="83">
        <f>1100000</f>
        <v>1100000</v>
      </c>
      <c r="Q54" s="83"/>
      <c r="R54" s="83"/>
      <c r="S54" s="83"/>
      <c r="T54" s="83">
        <f>231020.36</f>
        <v>231020.36</v>
      </c>
      <c r="U54" s="83">
        <f>233334</f>
        <v>233334</v>
      </c>
      <c r="V54" s="83"/>
      <c r="W54" s="83"/>
      <c r="X54" s="83"/>
      <c r="Y54" s="42">
        <f t="shared" si="3"/>
        <v>1564354.3599999999</v>
      </c>
      <c r="Z54" s="45">
        <f t="shared" si="12"/>
        <v>0</v>
      </c>
    </row>
    <row r="55" spans="1:26" ht="18">
      <c r="A55" s="26"/>
      <c r="B55" s="27"/>
      <c r="C55" s="81" t="s">
        <v>105</v>
      </c>
      <c r="D55" s="75">
        <f>F55</f>
        <v>390000</v>
      </c>
      <c r="E55" s="17"/>
      <c r="F55" s="17">
        <f>G55</f>
        <v>390000</v>
      </c>
      <c r="G55" s="17">
        <v>390000</v>
      </c>
      <c r="H55" s="53"/>
      <c r="I55" s="84"/>
      <c r="J55" s="97">
        <f t="shared" si="10"/>
        <v>0</v>
      </c>
      <c r="K55" s="73"/>
      <c r="L55" s="42">
        <f t="shared" si="11"/>
        <v>50000</v>
      </c>
      <c r="M55" s="83"/>
      <c r="N55" s="83"/>
      <c r="O55" s="83"/>
      <c r="P55" s="83">
        <f>50000</f>
        <v>50000</v>
      </c>
      <c r="Q55" s="83"/>
      <c r="R55" s="83"/>
      <c r="S55" s="83">
        <f>180000</f>
        <v>180000</v>
      </c>
      <c r="T55" s="83"/>
      <c r="U55" s="83"/>
      <c r="V55" s="83">
        <f>160000</f>
        <v>160000</v>
      </c>
      <c r="W55" s="83"/>
      <c r="X55" s="83"/>
      <c r="Y55" s="42">
        <f t="shared" si="3"/>
        <v>390000</v>
      </c>
      <c r="Z55" s="45">
        <f t="shared" si="12"/>
        <v>0</v>
      </c>
    </row>
    <row r="56" spans="1:26" ht="18">
      <c r="A56" s="26"/>
      <c r="B56" s="27"/>
      <c r="C56" s="81" t="s">
        <v>67</v>
      </c>
      <c r="D56" s="17">
        <f t="shared" si="8"/>
        <v>1000000</v>
      </c>
      <c r="E56" s="17"/>
      <c r="F56" s="17">
        <f t="shared" si="7"/>
        <v>1000000</v>
      </c>
      <c r="G56" s="17">
        <v>1000000</v>
      </c>
      <c r="H56" s="53"/>
      <c r="I56" s="84">
        <f t="shared" si="9"/>
        <v>0</v>
      </c>
      <c r="J56" s="97">
        <f t="shared" si="10"/>
        <v>0</v>
      </c>
      <c r="K56" s="73"/>
      <c r="L56" s="42">
        <f t="shared" si="11"/>
        <v>100000</v>
      </c>
      <c r="M56" s="85"/>
      <c r="N56" s="85"/>
      <c r="O56" s="85"/>
      <c r="P56" s="85">
        <v>100000</v>
      </c>
      <c r="Q56" s="85"/>
      <c r="R56" s="85">
        <v>700000</v>
      </c>
      <c r="S56" s="85"/>
      <c r="T56" s="85"/>
      <c r="U56" s="85"/>
      <c r="V56" s="85">
        <v>200000</v>
      </c>
      <c r="W56" s="85"/>
      <c r="X56" s="85"/>
      <c r="Y56" s="42">
        <f t="shared" si="3"/>
        <v>1000000</v>
      </c>
      <c r="Z56" s="45">
        <f t="shared" si="12"/>
        <v>0</v>
      </c>
    </row>
    <row r="57" spans="1:26" ht="18">
      <c r="A57" s="26"/>
      <c r="B57" s="27"/>
      <c r="C57" s="81" t="s">
        <v>68</v>
      </c>
      <c r="D57" s="17">
        <f t="shared" si="8"/>
        <v>800000</v>
      </c>
      <c r="E57" s="17"/>
      <c r="F57" s="17">
        <f t="shared" si="7"/>
        <v>800000</v>
      </c>
      <c r="G57" s="17">
        <v>800000</v>
      </c>
      <c r="H57" s="53"/>
      <c r="I57" s="84">
        <f t="shared" si="9"/>
        <v>0</v>
      </c>
      <c r="J57" s="97">
        <f t="shared" si="10"/>
        <v>0</v>
      </c>
      <c r="K57" s="73"/>
      <c r="L57" s="42">
        <f t="shared" si="11"/>
        <v>60000</v>
      </c>
      <c r="M57" s="85"/>
      <c r="N57" s="85"/>
      <c r="O57" s="85"/>
      <c r="P57" s="85">
        <v>60000</v>
      </c>
      <c r="Q57" s="85"/>
      <c r="R57" s="85"/>
      <c r="S57" s="85"/>
      <c r="T57" s="85"/>
      <c r="U57" s="85"/>
      <c r="V57" s="85">
        <v>500000</v>
      </c>
      <c r="W57" s="85"/>
      <c r="X57" s="85">
        <v>240000</v>
      </c>
      <c r="Y57" s="42">
        <f t="shared" si="3"/>
        <v>800000</v>
      </c>
      <c r="Z57" s="45">
        <f t="shared" si="12"/>
        <v>0</v>
      </c>
    </row>
    <row r="58" spans="1:26" ht="18">
      <c r="A58" s="26"/>
      <c r="B58" s="27"/>
      <c r="C58" s="81" t="s">
        <v>69</v>
      </c>
      <c r="D58" s="17">
        <f t="shared" si="8"/>
        <v>600000</v>
      </c>
      <c r="E58" s="17"/>
      <c r="F58" s="17">
        <f t="shared" si="7"/>
        <v>600000</v>
      </c>
      <c r="G58" s="17">
        <v>600000</v>
      </c>
      <c r="H58" s="53"/>
      <c r="I58" s="84">
        <f t="shared" si="9"/>
        <v>0</v>
      </c>
      <c r="J58" s="97">
        <f t="shared" si="10"/>
        <v>0</v>
      </c>
      <c r="K58" s="73"/>
      <c r="L58" s="42">
        <f t="shared" si="11"/>
        <v>60000</v>
      </c>
      <c r="M58" s="85"/>
      <c r="N58" s="85"/>
      <c r="O58" s="85"/>
      <c r="P58" s="85">
        <v>60000</v>
      </c>
      <c r="Q58" s="85"/>
      <c r="R58" s="85"/>
      <c r="S58" s="85">
        <v>328160</v>
      </c>
      <c r="T58" s="85"/>
      <c r="U58" s="85"/>
      <c r="V58" s="85"/>
      <c r="W58" s="85">
        <v>211840</v>
      </c>
      <c r="X58" s="85"/>
      <c r="Y58" s="42">
        <f t="shared" si="3"/>
        <v>600000</v>
      </c>
      <c r="Z58" s="45">
        <f t="shared" si="12"/>
        <v>0</v>
      </c>
    </row>
    <row r="59" spans="1:26" ht="18">
      <c r="A59" s="26"/>
      <c r="B59" s="27"/>
      <c r="C59" s="81" t="s">
        <v>70</v>
      </c>
      <c r="D59" s="17">
        <f>F59</f>
        <v>1000000</v>
      </c>
      <c r="E59" s="17"/>
      <c r="F59" s="17">
        <f>G59</f>
        <v>1000000</v>
      </c>
      <c r="G59" s="17">
        <v>1000000</v>
      </c>
      <c r="H59" s="53"/>
      <c r="I59" s="84">
        <f t="shared" si="9"/>
        <v>0</v>
      </c>
      <c r="J59" s="97">
        <f t="shared" si="10"/>
        <v>0</v>
      </c>
      <c r="K59" s="73"/>
      <c r="L59" s="42">
        <f t="shared" si="11"/>
        <v>120000</v>
      </c>
      <c r="M59" s="85"/>
      <c r="N59" s="85"/>
      <c r="O59" s="85"/>
      <c r="P59" s="85">
        <v>120000</v>
      </c>
      <c r="Q59" s="85"/>
      <c r="R59" s="85"/>
      <c r="S59" s="85"/>
      <c r="T59" s="85"/>
      <c r="U59" s="85">
        <v>175000</v>
      </c>
      <c r="V59" s="85">
        <v>600000</v>
      </c>
      <c r="W59" s="85"/>
      <c r="X59" s="85">
        <f>280000-175000</f>
        <v>105000</v>
      </c>
      <c r="Y59" s="42">
        <f t="shared" si="3"/>
        <v>1000000</v>
      </c>
      <c r="Z59" s="45">
        <f t="shared" si="12"/>
        <v>0</v>
      </c>
    </row>
    <row r="60" spans="1:26" ht="18">
      <c r="A60" s="26"/>
      <c r="B60" s="27"/>
      <c r="C60" s="81" t="s">
        <v>71</v>
      </c>
      <c r="D60" s="17">
        <f>F60</f>
        <v>700000</v>
      </c>
      <c r="E60" s="17"/>
      <c r="F60" s="17">
        <f>G60</f>
        <v>700000</v>
      </c>
      <c r="G60" s="17">
        <v>700000</v>
      </c>
      <c r="H60" s="53"/>
      <c r="I60" s="84">
        <f t="shared" si="9"/>
        <v>0</v>
      </c>
      <c r="J60" s="97">
        <f t="shared" si="10"/>
        <v>0</v>
      </c>
      <c r="K60" s="73"/>
      <c r="L60" s="42">
        <f t="shared" si="11"/>
        <v>60000</v>
      </c>
      <c r="M60" s="85"/>
      <c r="N60" s="85"/>
      <c r="O60" s="85"/>
      <c r="P60" s="85">
        <v>60000</v>
      </c>
      <c r="Q60" s="85"/>
      <c r="R60" s="85"/>
      <c r="S60" s="85">
        <v>450000</v>
      </c>
      <c r="T60" s="85"/>
      <c r="U60" s="85"/>
      <c r="V60" s="85">
        <v>190000</v>
      </c>
      <c r="W60" s="85"/>
      <c r="X60" s="85"/>
      <c r="Y60" s="42">
        <f t="shared" si="3"/>
        <v>700000</v>
      </c>
      <c r="Z60" s="45">
        <f t="shared" si="12"/>
        <v>0</v>
      </c>
    </row>
    <row r="61" spans="1:26" ht="18">
      <c r="A61" s="26"/>
      <c r="B61" s="27"/>
      <c r="C61" s="81" t="s">
        <v>72</v>
      </c>
      <c r="D61" s="17">
        <f>F61</f>
        <v>29943</v>
      </c>
      <c r="E61" s="17"/>
      <c r="F61" s="17">
        <f>G61</f>
        <v>29943</v>
      </c>
      <c r="G61" s="17">
        <v>29943</v>
      </c>
      <c r="H61" s="53"/>
      <c r="I61" s="84">
        <f t="shared" si="9"/>
        <v>0</v>
      </c>
      <c r="J61" s="97">
        <f t="shared" si="10"/>
        <v>0</v>
      </c>
      <c r="K61" s="73"/>
      <c r="L61" s="42">
        <f t="shared" si="11"/>
        <v>29943</v>
      </c>
      <c r="M61" s="85"/>
      <c r="N61" s="85"/>
      <c r="O61" s="85"/>
      <c r="P61" s="85">
        <v>29943</v>
      </c>
      <c r="Q61" s="85"/>
      <c r="R61" s="85"/>
      <c r="S61" s="85"/>
      <c r="T61" s="85"/>
      <c r="U61" s="85"/>
      <c r="V61" s="85"/>
      <c r="W61" s="85"/>
      <c r="X61" s="85"/>
      <c r="Y61" s="42">
        <f t="shared" si="3"/>
        <v>29943</v>
      </c>
      <c r="Z61" s="45">
        <f t="shared" si="12"/>
        <v>0</v>
      </c>
    </row>
    <row r="62" spans="1:26" ht="18">
      <c r="A62" s="26"/>
      <c r="B62" s="27"/>
      <c r="C62" s="81" t="s">
        <v>73</v>
      </c>
      <c r="D62" s="17">
        <f t="shared" si="8"/>
        <v>3000000</v>
      </c>
      <c r="E62" s="17"/>
      <c r="F62" s="17">
        <f t="shared" si="7"/>
        <v>3000000</v>
      </c>
      <c r="G62" s="17">
        <v>3000000</v>
      </c>
      <c r="H62" s="53"/>
      <c r="I62" s="84">
        <f t="shared" si="9"/>
        <v>0</v>
      </c>
      <c r="J62" s="97">
        <f t="shared" si="10"/>
        <v>0</v>
      </c>
      <c r="K62" s="73"/>
      <c r="L62" s="42">
        <f t="shared" si="11"/>
        <v>1400000</v>
      </c>
      <c r="M62" s="85"/>
      <c r="N62" s="85"/>
      <c r="O62" s="85"/>
      <c r="P62" s="85">
        <v>1400000</v>
      </c>
      <c r="Q62" s="85"/>
      <c r="R62" s="85"/>
      <c r="S62" s="85"/>
      <c r="T62" s="85">
        <v>1400000</v>
      </c>
      <c r="U62" s="85"/>
      <c r="V62" s="85"/>
      <c r="W62" s="85"/>
      <c r="X62" s="85">
        <v>200000</v>
      </c>
      <c r="Y62" s="42">
        <f t="shared" si="3"/>
        <v>3000000</v>
      </c>
      <c r="Z62" s="45">
        <f t="shared" si="12"/>
        <v>0</v>
      </c>
    </row>
    <row r="63" spans="1:26" ht="18">
      <c r="A63" s="26"/>
      <c r="B63" s="27"/>
      <c r="C63" s="81" t="s">
        <v>74</v>
      </c>
      <c r="D63" s="17">
        <f t="shared" si="8"/>
        <v>1400000</v>
      </c>
      <c r="E63" s="17"/>
      <c r="F63" s="17">
        <f t="shared" si="7"/>
        <v>1400000</v>
      </c>
      <c r="G63" s="17">
        <v>1400000</v>
      </c>
      <c r="H63" s="53">
        <f>70000</f>
        <v>70000</v>
      </c>
      <c r="I63" s="17">
        <f t="shared" si="9"/>
        <v>5</v>
      </c>
      <c r="J63" s="97">
        <f t="shared" si="10"/>
        <v>70</v>
      </c>
      <c r="K63" s="73"/>
      <c r="L63" s="42">
        <f t="shared" si="11"/>
        <v>30000</v>
      </c>
      <c r="M63" s="85"/>
      <c r="N63" s="85"/>
      <c r="O63" s="85">
        <v>100000</v>
      </c>
      <c r="P63" s="85"/>
      <c r="Q63" s="85"/>
      <c r="R63" s="85"/>
      <c r="S63" s="85"/>
      <c r="T63" s="85">
        <v>1000000</v>
      </c>
      <c r="U63" s="85"/>
      <c r="V63" s="85">
        <v>300000</v>
      </c>
      <c r="W63" s="85"/>
      <c r="X63" s="85"/>
      <c r="Y63" s="42">
        <f t="shared" si="3"/>
        <v>1400000</v>
      </c>
      <c r="Z63" s="45">
        <f t="shared" si="12"/>
        <v>0</v>
      </c>
    </row>
    <row r="64" spans="1:26" ht="18">
      <c r="A64" s="13"/>
      <c r="B64" s="13"/>
      <c r="C64" s="81" t="s">
        <v>75</v>
      </c>
      <c r="D64" s="17">
        <f t="shared" si="8"/>
        <v>1400000</v>
      </c>
      <c r="E64" s="17"/>
      <c r="F64" s="17">
        <f t="shared" si="7"/>
        <v>1400000</v>
      </c>
      <c r="G64" s="17">
        <v>1400000</v>
      </c>
      <c r="H64" s="53"/>
      <c r="I64" s="84">
        <f t="shared" si="9"/>
        <v>0</v>
      </c>
      <c r="J64" s="97">
        <f t="shared" si="10"/>
        <v>0</v>
      </c>
      <c r="K64" s="73"/>
      <c r="L64" s="42">
        <f t="shared" si="11"/>
        <v>1000000</v>
      </c>
      <c r="M64" s="85"/>
      <c r="N64" s="85"/>
      <c r="O64" s="85">
        <v>1000000</v>
      </c>
      <c r="P64" s="85"/>
      <c r="Q64" s="85"/>
      <c r="R64" s="85"/>
      <c r="S64" s="85">
        <v>400000</v>
      </c>
      <c r="T64" s="85"/>
      <c r="U64" s="85"/>
      <c r="V64" s="85"/>
      <c r="W64" s="85"/>
      <c r="X64" s="85"/>
      <c r="Y64" s="42">
        <f t="shared" si="3"/>
        <v>1400000</v>
      </c>
      <c r="Z64" s="45">
        <f t="shared" si="12"/>
        <v>0</v>
      </c>
    </row>
    <row r="65" spans="1:26" ht="18" hidden="1">
      <c r="A65" s="26"/>
      <c r="B65" s="27"/>
      <c r="C65" s="81"/>
      <c r="D65" s="17"/>
      <c r="E65" s="17"/>
      <c r="F65" s="17"/>
      <c r="G65" s="17"/>
      <c r="H65" s="53"/>
      <c r="I65" s="17" t="e">
        <f t="shared" si="9"/>
        <v>#DIV/0!</v>
      </c>
      <c r="J65" s="48" t="e">
        <f t="shared" si="10"/>
        <v>#DIV/0!</v>
      </c>
      <c r="K65" s="73"/>
      <c r="L65" s="42">
        <f t="shared" si="11"/>
        <v>0</v>
      </c>
      <c r="M65" s="13"/>
      <c r="N65" s="58"/>
      <c r="O65" s="58"/>
      <c r="P65" s="60"/>
      <c r="Q65" s="60"/>
      <c r="R65" s="60"/>
      <c r="S65" s="60"/>
      <c r="T65" s="60"/>
      <c r="U65" s="61"/>
      <c r="V65" s="61"/>
      <c r="W65" s="61"/>
      <c r="X65" s="63"/>
      <c r="Y65" s="42">
        <f t="shared" si="3"/>
        <v>0</v>
      </c>
      <c r="Z65" s="45">
        <f t="shared" si="12"/>
        <v>0</v>
      </c>
    </row>
    <row r="66" spans="1:26" ht="21" customHeight="1" hidden="1">
      <c r="A66" s="26"/>
      <c r="B66" s="27"/>
      <c r="C66" s="52"/>
      <c r="D66" s="17">
        <f aca="true" t="shared" si="13" ref="D66:D77">E66+F66</f>
        <v>0</v>
      </c>
      <c r="E66" s="21"/>
      <c r="F66" s="53">
        <f aca="true" t="shared" si="14" ref="F66:F77">G66</f>
        <v>0</v>
      </c>
      <c r="G66" s="53"/>
      <c r="H66" s="53"/>
      <c r="I66" s="17" t="e">
        <f t="shared" si="9"/>
        <v>#DIV/0!</v>
      </c>
      <c r="J66" s="48" t="e">
        <f t="shared" si="10"/>
        <v>#DIV/0!</v>
      </c>
      <c r="K66" s="73"/>
      <c r="L66" s="42">
        <f t="shared" si="11"/>
        <v>0</v>
      </c>
      <c r="M66" s="13"/>
      <c r="N66" s="13"/>
      <c r="O66" s="60"/>
      <c r="P66" s="60"/>
      <c r="Q66" s="60"/>
      <c r="R66" s="60"/>
      <c r="S66" s="60"/>
      <c r="T66" s="60"/>
      <c r="U66" s="61"/>
      <c r="V66" s="61"/>
      <c r="W66" s="61"/>
      <c r="X66" s="63"/>
      <c r="Y66" s="42">
        <f t="shared" si="3"/>
        <v>0</v>
      </c>
      <c r="Z66" s="45">
        <f t="shared" si="12"/>
        <v>0</v>
      </c>
    </row>
    <row r="67" spans="1:26" ht="18" hidden="1">
      <c r="A67" s="26"/>
      <c r="B67" s="27"/>
      <c r="C67" s="52"/>
      <c r="D67" s="17">
        <f t="shared" si="13"/>
        <v>0</v>
      </c>
      <c r="E67" s="21"/>
      <c r="F67" s="53">
        <f t="shared" si="14"/>
        <v>0</v>
      </c>
      <c r="G67" s="54"/>
      <c r="H67" s="53"/>
      <c r="I67" s="17" t="e">
        <f t="shared" si="9"/>
        <v>#DIV/0!</v>
      </c>
      <c r="J67" s="48" t="e">
        <f t="shared" si="10"/>
        <v>#DIV/0!</v>
      </c>
      <c r="K67" s="73"/>
      <c r="L67" s="42">
        <f t="shared" si="11"/>
        <v>0</v>
      </c>
      <c r="M67" s="13"/>
      <c r="N67" s="13"/>
      <c r="O67" s="60"/>
      <c r="P67" s="60"/>
      <c r="Q67" s="60"/>
      <c r="R67" s="60"/>
      <c r="S67" s="60"/>
      <c r="T67" s="60"/>
      <c r="U67" s="61"/>
      <c r="V67" s="61"/>
      <c r="W67" s="61"/>
      <c r="X67" s="61"/>
      <c r="Y67" s="42">
        <f t="shared" si="3"/>
        <v>0</v>
      </c>
      <c r="Z67" s="45">
        <f t="shared" si="12"/>
        <v>0</v>
      </c>
    </row>
    <row r="68" spans="1:26" ht="18" hidden="1">
      <c r="A68" s="26"/>
      <c r="B68" s="27"/>
      <c r="C68" s="52"/>
      <c r="D68" s="17">
        <f t="shared" si="13"/>
        <v>0</v>
      </c>
      <c r="E68" s="21"/>
      <c r="F68" s="53">
        <f t="shared" si="14"/>
        <v>0</v>
      </c>
      <c r="G68" s="53"/>
      <c r="H68" s="53"/>
      <c r="I68" s="17" t="e">
        <f t="shared" si="9"/>
        <v>#DIV/0!</v>
      </c>
      <c r="J68" s="48" t="e">
        <f t="shared" si="10"/>
        <v>#DIV/0!</v>
      </c>
      <c r="K68" s="73"/>
      <c r="L68" s="42">
        <f t="shared" si="11"/>
        <v>0</v>
      </c>
      <c r="M68" s="13"/>
      <c r="N68" s="13"/>
      <c r="O68" s="60"/>
      <c r="P68" s="60"/>
      <c r="Q68" s="60"/>
      <c r="R68" s="60"/>
      <c r="S68" s="60"/>
      <c r="T68" s="60"/>
      <c r="U68" s="61"/>
      <c r="V68" s="61"/>
      <c r="W68" s="61"/>
      <c r="X68" s="61"/>
      <c r="Y68" s="42">
        <f t="shared" si="3"/>
        <v>0</v>
      </c>
      <c r="Z68" s="45">
        <f t="shared" si="12"/>
        <v>0</v>
      </c>
    </row>
    <row r="69" spans="1:26" ht="18" hidden="1">
      <c r="A69" s="26"/>
      <c r="B69" s="27"/>
      <c r="C69" s="52"/>
      <c r="D69" s="17">
        <f t="shared" si="13"/>
        <v>0</v>
      </c>
      <c r="E69" s="21"/>
      <c r="F69" s="53">
        <f t="shared" si="14"/>
        <v>0</v>
      </c>
      <c r="G69" s="54"/>
      <c r="H69" s="53"/>
      <c r="I69" s="17" t="e">
        <f t="shared" si="9"/>
        <v>#DIV/0!</v>
      </c>
      <c r="J69" s="48" t="e">
        <f t="shared" si="10"/>
        <v>#DIV/0!</v>
      </c>
      <c r="K69" s="73"/>
      <c r="L69" s="42">
        <f t="shared" si="11"/>
        <v>0</v>
      </c>
      <c r="M69" s="13"/>
      <c r="N69" s="13"/>
      <c r="O69" s="60"/>
      <c r="P69" s="60"/>
      <c r="Q69" s="60"/>
      <c r="R69" s="60"/>
      <c r="S69" s="60"/>
      <c r="T69" s="60"/>
      <c r="U69" s="61"/>
      <c r="V69" s="61"/>
      <c r="W69" s="61"/>
      <c r="X69" s="61"/>
      <c r="Y69" s="42">
        <f t="shared" si="3"/>
        <v>0</v>
      </c>
      <c r="Z69" s="45">
        <f t="shared" si="12"/>
        <v>0</v>
      </c>
    </row>
    <row r="70" spans="1:26" ht="18" hidden="1">
      <c r="A70" s="26"/>
      <c r="B70" s="27"/>
      <c r="C70" s="52"/>
      <c r="D70" s="17">
        <f t="shared" si="13"/>
        <v>0</v>
      </c>
      <c r="E70" s="21"/>
      <c r="F70" s="53">
        <f t="shared" si="14"/>
        <v>0</v>
      </c>
      <c r="G70" s="53"/>
      <c r="H70" s="53"/>
      <c r="I70" s="17" t="e">
        <f t="shared" si="9"/>
        <v>#DIV/0!</v>
      </c>
      <c r="J70" s="48" t="e">
        <f t="shared" si="10"/>
        <v>#DIV/0!</v>
      </c>
      <c r="K70" s="73"/>
      <c r="L70" s="42">
        <f t="shared" si="11"/>
        <v>0</v>
      </c>
      <c r="M70" s="13"/>
      <c r="N70" s="13"/>
      <c r="O70" s="60"/>
      <c r="P70" s="60"/>
      <c r="Q70" s="60"/>
      <c r="R70" s="60"/>
      <c r="S70" s="60"/>
      <c r="T70" s="60"/>
      <c r="U70" s="61"/>
      <c r="V70" s="61"/>
      <c r="W70" s="61"/>
      <c r="X70" s="61"/>
      <c r="Y70" s="42">
        <f t="shared" si="3"/>
        <v>0</v>
      </c>
      <c r="Z70" s="45">
        <f t="shared" si="12"/>
        <v>0</v>
      </c>
    </row>
    <row r="71" spans="1:26" ht="18" hidden="1">
      <c r="A71" s="26"/>
      <c r="B71" s="27"/>
      <c r="C71" s="52"/>
      <c r="D71" s="17">
        <f t="shared" si="13"/>
        <v>0</v>
      </c>
      <c r="E71" s="21"/>
      <c r="F71" s="53">
        <f t="shared" si="14"/>
        <v>0</v>
      </c>
      <c r="G71" s="53"/>
      <c r="H71" s="53"/>
      <c r="I71" s="17" t="e">
        <f t="shared" si="9"/>
        <v>#DIV/0!</v>
      </c>
      <c r="J71" s="48" t="e">
        <f t="shared" si="10"/>
        <v>#DIV/0!</v>
      </c>
      <c r="K71" s="73"/>
      <c r="L71" s="42">
        <f t="shared" si="11"/>
        <v>0</v>
      </c>
      <c r="M71" s="13"/>
      <c r="N71" s="13"/>
      <c r="O71" s="60"/>
      <c r="P71" s="60"/>
      <c r="Q71" s="60"/>
      <c r="R71" s="60"/>
      <c r="S71" s="60"/>
      <c r="T71" s="60"/>
      <c r="U71" s="61"/>
      <c r="V71" s="61"/>
      <c r="W71" s="61"/>
      <c r="X71" s="63"/>
      <c r="Y71" s="42">
        <f t="shared" si="3"/>
        <v>0</v>
      </c>
      <c r="Z71" s="45">
        <f t="shared" si="12"/>
        <v>0</v>
      </c>
    </row>
    <row r="72" spans="1:26" ht="18" hidden="1">
      <c r="A72" s="26"/>
      <c r="B72" s="27"/>
      <c r="C72" s="52"/>
      <c r="D72" s="17">
        <f t="shared" si="13"/>
        <v>0</v>
      </c>
      <c r="E72" s="21"/>
      <c r="F72" s="53">
        <f t="shared" si="14"/>
        <v>0</v>
      </c>
      <c r="G72" s="53"/>
      <c r="H72" s="53"/>
      <c r="I72" s="17" t="e">
        <f t="shared" si="9"/>
        <v>#DIV/0!</v>
      </c>
      <c r="J72" s="48" t="e">
        <f t="shared" si="10"/>
        <v>#DIV/0!</v>
      </c>
      <c r="K72" s="73"/>
      <c r="L72" s="42">
        <f t="shared" si="11"/>
        <v>0</v>
      </c>
      <c r="M72" s="13"/>
      <c r="N72" s="13"/>
      <c r="O72" s="60"/>
      <c r="P72" s="60"/>
      <c r="Q72" s="60"/>
      <c r="R72" s="60"/>
      <c r="S72" s="60"/>
      <c r="T72" s="60"/>
      <c r="U72" s="61"/>
      <c r="V72" s="61"/>
      <c r="W72" s="61"/>
      <c r="X72" s="61"/>
      <c r="Y72" s="42">
        <f t="shared" si="3"/>
        <v>0</v>
      </c>
      <c r="Z72" s="45">
        <f t="shared" si="12"/>
        <v>0</v>
      </c>
    </row>
    <row r="73" spans="1:26" ht="18" hidden="1">
      <c r="A73" s="26"/>
      <c r="B73" s="27"/>
      <c r="C73" s="52"/>
      <c r="D73" s="17">
        <f t="shared" si="13"/>
        <v>0</v>
      </c>
      <c r="E73" s="21"/>
      <c r="F73" s="53">
        <f t="shared" si="14"/>
        <v>0</v>
      </c>
      <c r="G73" s="53"/>
      <c r="H73" s="53"/>
      <c r="I73" s="17" t="e">
        <f t="shared" si="9"/>
        <v>#DIV/0!</v>
      </c>
      <c r="J73" s="48" t="e">
        <f t="shared" si="10"/>
        <v>#DIV/0!</v>
      </c>
      <c r="K73" s="73"/>
      <c r="L73" s="42">
        <f t="shared" si="11"/>
        <v>0</v>
      </c>
      <c r="M73" s="13"/>
      <c r="N73" s="13"/>
      <c r="O73" s="60"/>
      <c r="P73" s="60"/>
      <c r="Q73" s="60"/>
      <c r="R73" s="60"/>
      <c r="S73" s="60"/>
      <c r="T73" s="60"/>
      <c r="U73" s="61"/>
      <c r="V73" s="58"/>
      <c r="W73" s="58"/>
      <c r="X73" s="58"/>
      <c r="Y73" s="42">
        <f t="shared" si="3"/>
        <v>0</v>
      </c>
      <c r="Z73" s="45">
        <f t="shared" si="12"/>
        <v>0</v>
      </c>
    </row>
    <row r="74" spans="1:26" ht="18" hidden="1">
      <c r="A74" s="26"/>
      <c r="B74" s="27"/>
      <c r="C74" s="52"/>
      <c r="D74" s="17">
        <f t="shared" si="13"/>
        <v>0</v>
      </c>
      <c r="E74" s="21"/>
      <c r="F74" s="53">
        <f t="shared" si="14"/>
        <v>0</v>
      </c>
      <c r="G74" s="53"/>
      <c r="H74" s="53"/>
      <c r="I74" s="17" t="e">
        <f t="shared" si="9"/>
        <v>#DIV/0!</v>
      </c>
      <c r="J74" s="48" t="e">
        <f t="shared" si="10"/>
        <v>#DIV/0!</v>
      </c>
      <c r="K74" s="73"/>
      <c r="L74" s="42">
        <f t="shared" si="11"/>
        <v>0</v>
      </c>
      <c r="M74" s="13"/>
      <c r="N74" s="13"/>
      <c r="O74" s="60"/>
      <c r="P74" s="60"/>
      <c r="Q74" s="60"/>
      <c r="R74" s="60"/>
      <c r="S74" s="60"/>
      <c r="T74" s="60"/>
      <c r="U74" s="61"/>
      <c r="V74" s="61"/>
      <c r="W74" s="61"/>
      <c r="X74" s="63"/>
      <c r="Y74" s="42">
        <f t="shared" si="3"/>
        <v>0</v>
      </c>
      <c r="Z74" s="45">
        <f t="shared" si="12"/>
        <v>0</v>
      </c>
    </row>
    <row r="75" spans="1:26" ht="18" hidden="1">
      <c r="A75" s="26"/>
      <c r="B75" s="27"/>
      <c r="C75" s="52"/>
      <c r="D75" s="17">
        <f>E75+F75</f>
        <v>0</v>
      </c>
      <c r="E75" s="21"/>
      <c r="F75" s="53">
        <f t="shared" si="14"/>
        <v>0</v>
      </c>
      <c r="G75" s="53"/>
      <c r="H75" s="53"/>
      <c r="I75" s="17" t="e">
        <f t="shared" si="9"/>
        <v>#DIV/0!</v>
      </c>
      <c r="J75" s="48" t="e">
        <f t="shared" si="10"/>
        <v>#DIV/0!</v>
      </c>
      <c r="K75" s="73"/>
      <c r="L75" s="42">
        <f t="shared" si="11"/>
        <v>0</v>
      </c>
      <c r="M75" s="13"/>
      <c r="N75" s="13"/>
      <c r="O75" s="60"/>
      <c r="P75" s="60"/>
      <c r="Q75" s="60"/>
      <c r="R75" s="60"/>
      <c r="S75" s="60"/>
      <c r="T75" s="60"/>
      <c r="U75" s="61"/>
      <c r="V75" s="61"/>
      <c r="W75" s="61"/>
      <c r="X75" s="61"/>
      <c r="Y75" s="42">
        <f t="shared" si="3"/>
        <v>0</v>
      </c>
      <c r="Z75" s="45">
        <f t="shared" si="12"/>
        <v>0</v>
      </c>
    </row>
    <row r="76" spans="1:26" ht="18" hidden="1">
      <c r="A76" s="26"/>
      <c r="B76" s="27"/>
      <c r="C76" s="52"/>
      <c r="D76" s="17">
        <f t="shared" si="13"/>
        <v>0</v>
      </c>
      <c r="E76" s="21"/>
      <c r="F76" s="53">
        <f t="shared" si="14"/>
        <v>0</v>
      </c>
      <c r="G76" s="53"/>
      <c r="H76" s="53"/>
      <c r="I76" s="17" t="e">
        <f t="shared" si="9"/>
        <v>#DIV/0!</v>
      </c>
      <c r="J76" s="48" t="e">
        <f t="shared" si="10"/>
        <v>#DIV/0!</v>
      </c>
      <c r="K76" s="73"/>
      <c r="L76" s="42">
        <f t="shared" si="11"/>
        <v>0</v>
      </c>
      <c r="M76" s="13"/>
      <c r="N76" s="13"/>
      <c r="O76" s="60"/>
      <c r="P76" s="60"/>
      <c r="Q76" s="60"/>
      <c r="R76" s="60"/>
      <c r="S76" s="60"/>
      <c r="T76" s="60"/>
      <c r="U76" s="61"/>
      <c r="V76" s="61"/>
      <c r="W76" s="61"/>
      <c r="X76" s="61"/>
      <c r="Y76" s="42">
        <f t="shared" si="3"/>
        <v>0</v>
      </c>
      <c r="Z76" s="45">
        <f t="shared" si="12"/>
        <v>0</v>
      </c>
    </row>
    <row r="77" spans="1:26" ht="18" hidden="1">
      <c r="A77" s="26"/>
      <c r="B77" s="27"/>
      <c r="C77" s="52"/>
      <c r="D77" s="17">
        <f t="shared" si="13"/>
        <v>0</v>
      </c>
      <c r="E77" s="21"/>
      <c r="F77" s="53">
        <f t="shared" si="14"/>
        <v>0</v>
      </c>
      <c r="G77" s="53"/>
      <c r="H77" s="53"/>
      <c r="I77" s="17" t="e">
        <f t="shared" si="9"/>
        <v>#DIV/0!</v>
      </c>
      <c r="J77" s="48" t="e">
        <f t="shared" si="10"/>
        <v>#DIV/0!</v>
      </c>
      <c r="K77" s="73"/>
      <c r="L77" s="42">
        <f t="shared" si="11"/>
        <v>0</v>
      </c>
      <c r="M77" s="13"/>
      <c r="N77" s="13"/>
      <c r="O77" s="60"/>
      <c r="P77" s="60"/>
      <c r="Q77" s="60"/>
      <c r="R77" s="60"/>
      <c r="S77" s="60"/>
      <c r="T77" s="60"/>
      <c r="U77" s="61"/>
      <c r="V77" s="61"/>
      <c r="W77" s="61"/>
      <c r="X77" s="64"/>
      <c r="Y77" s="42">
        <f t="shared" si="3"/>
        <v>0</v>
      </c>
      <c r="Z77" s="45">
        <f t="shared" si="12"/>
        <v>0</v>
      </c>
    </row>
    <row r="78" spans="1:26" ht="18">
      <c r="A78" s="100" t="s">
        <v>36</v>
      </c>
      <c r="B78" s="101"/>
      <c r="C78" s="101"/>
      <c r="D78" s="101"/>
      <c r="E78" s="101"/>
      <c r="F78" s="101"/>
      <c r="G78" s="102"/>
      <c r="H78" s="13"/>
      <c r="I78" s="17"/>
      <c r="J78" s="48"/>
      <c r="K78" s="73"/>
      <c r="L78" s="42">
        <f t="shared" si="11"/>
        <v>0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42">
        <f t="shared" si="3"/>
        <v>0</v>
      </c>
      <c r="Z78" s="45">
        <f t="shared" si="12"/>
        <v>0</v>
      </c>
    </row>
    <row r="79" spans="1:26" ht="18">
      <c r="A79" s="5">
        <v>2</v>
      </c>
      <c r="B79" s="6"/>
      <c r="C79" s="7" t="s">
        <v>4</v>
      </c>
      <c r="D79" s="8">
        <f>E79+F79</f>
        <v>222891290</v>
      </c>
      <c r="E79" s="55"/>
      <c r="F79" s="8">
        <f>SUM(F80:F104)</f>
        <v>222891290</v>
      </c>
      <c r="G79" s="8">
        <f>SUM(G80:G104)</f>
        <v>222891290</v>
      </c>
      <c r="H79" s="8">
        <f>SUM(H80:H104)</f>
        <v>9375437</v>
      </c>
      <c r="I79" s="8">
        <f aca="true" t="shared" si="15" ref="I79:I104">H79/D79*100</f>
        <v>4.206282354056993</v>
      </c>
      <c r="J79" s="8">
        <f>(H79/(M79+N79+O79+P79))*100</f>
        <v>41.66953487855285</v>
      </c>
      <c r="K79" s="73"/>
      <c r="L79" s="42">
        <f t="shared" si="11"/>
        <v>13124063</v>
      </c>
      <c r="M79" s="59">
        <f aca="true" t="shared" si="16" ref="M79:X79">SUM(M80:M104)</f>
        <v>0</v>
      </c>
      <c r="N79" s="47">
        <f t="shared" si="16"/>
        <v>150000</v>
      </c>
      <c r="O79" s="47">
        <f t="shared" si="16"/>
        <v>19400000</v>
      </c>
      <c r="P79" s="47">
        <f t="shared" si="16"/>
        <v>2949500</v>
      </c>
      <c r="Q79" s="47">
        <f t="shared" si="16"/>
        <v>16657864</v>
      </c>
      <c r="R79" s="47">
        <f t="shared" si="16"/>
        <v>4813000.85</v>
      </c>
      <c r="S79" s="47">
        <f t="shared" si="16"/>
        <v>23900600</v>
      </c>
      <c r="T79" s="47">
        <f t="shared" si="16"/>
        <v>32668600</v>
      </c>
      <c r="U79" s="47">
        <f t="shared" si="16"/>
        <v>23351600</v>
      </c>
      <c r="V79" s="47">
        <f t="shared" si="16"/>
        <v>29307000.42</v>
      </c>
      <c r="W79" s="47">
        <f t="shared" si="16"/>
        <v>46902500</v>
      </c>
      <c r="X79" s="47">
        <f t="shared" si="16"/>
        <v>22790624.73</v>
      </c>
      <c r="Y79" s="42">
        <f t="shared" si="3"/>
        <v>222891289.99999997</v>
      </c>
      <c r="Z79" s="45">
        <f t="shared" si="12"/>
        <v>0</v>
      </c>
    </row>
    <row r="80" spans="1:26" ht="18">
      <c r="A80" s="56"/>
      <c r="B80" s="18"/>
      <c r="C80" s="81" t="s">
        <v>76</v>
      </c>
      <c r="D80" s="17">
        <f>F80</f>
        <v>1000000</v>
      </c>
      <c r="E80" s="17"/>
      <c r="F80" s="17">
        <f>G80</f>
        <v>1000000</v>
      </c>
      <c r="G80" s="17">
        <v>1000000</v>
      </c>
      <c r="H80" s="54"/>
      <c r="I80" s="84">
        <f t="shared" si="15"/>
        <v>0</v>
      </c>
      <c r="J80" s="98" t="e">
        <f aca="true" t="shared" si="17" ref="J80:J105">(H80/(M80+N80+O80+P80))*100</f>
        <v>#DIV/0!</v>
      </c>
      <c r="K80" s="73"/>
      <c r="L80" s="42">
        <f t="shared" si="11"/>
        <v>0</v>
      </c>
      <c r="M80" s="86"/>
      <c r="N80" s="86"/>
      <c r="O80" s="86"/>
      <c r="P80" s="86"/>
      <c r="Q80" s="86">
        <v>35000</v>
      </c>
      <c r="R80" s="86">
        <v>15000</v>
      </c>
      <c r="S80" s="86"/>
      <c r="T80" s="86">
        <v>500000</v>
      </c>
      <c r="U80" s="86"/>
      <c r="V80" s="86"/>
      <c r="W80" s="86">
        <v>450000</v>
      </c>
      <c r="X80" s="86"/>
      <c r="Y80" s="42">
        <f t="shared" si="3"/>
        <v>1000000</v>
      </c>
      <c r="Z80" s="45">
        <f t="shared" si="12"/>
        <v>0</v>
      </c>
    </row>
    <row r="81" spans="1:26" ht="18">
      <c r="A81" s="56"/>
      <c r="B81" s="18"/>
      <c r="C81" s="81" t="s">
        <v>77</v>
      </c>
      <c r="D81" s="17">
        <f>F81</f>
        <v>2000000</v>
      </c>
      <c r="E81" s="17"/>
      <c r="F81" s="17">
        <f>G81</f>
        <v>2000000</v>
      </c>
      <c r="G81" s="17">
        <v>2000000</v>
      </c>
      <c r="H81" s="54"/>
      <c r="I81" s="84">
        <f t="shared" si="15"/>
        <v>0</v>
      </c>
      <c r="J81" s="98" t="e">
        <f t="shared" si="17"/>
        <v>#DIV/0!</v>
      </c>
      <c r="K81" s="73"/>
      <c r="L81" s="42">
        <f t="shared" si="11"/>
        <v>0</v>
      </c>
      <c r="M81" s="86"/>
      <c r="N81" s="86"/>
      <c r="O81" s="86"/>
      <c r="P81" s="86"/>
      <c r="Q81" s="86">
        <v>300000</v>
      </c>
      <c r="R81" s="86"/>
      <c r="S81" s="86">
        <v>700000</v>
      </c>
      <c r="T81" s="86">
        <v>500000</v>
      </c>
      <c r="U81" s="86"/>
      <c r="V81" s="86"/>
      <c r="W81" s="86">
        <v>500000</v>
      </c>
      <c r="X81" s="86"/>
      <c r="Y81" s="42">
        <f t="shared" si="3"/>
        <v>2000000</v>
      </c>
      <c r="Z81" s="45">
        <f t="shared" si="12"/>
        <v>0</v>
      </c>
    </row>
    <row r="82" spans="1:26" ht="18">
      <c r="A82" s="56"/>
      <c r="B82" s="18"/>
      <c r="C82" s="81" t="s">
        <v>78</v>
      </c>
      <c r="D82" s="75">
        <f>F82</f>
        <v>2000000</v>
      </c>
      <c r="E82" s="17"/>
      <c r="F82" s="17">
        <f>G82</f>
        <v>2000000</v>
      </c>
      <c r="G82" s="17">
        <v>2000000</v>
      </c>
      <c r="H82" s="54"/>
      <c r="I82" s="84">
        <f t="shared" si="15"/>
        <v>0</v>
      </c>
      <c r="J82" s="98" t="e">
        <f t="shared" si="17"/>
        <v>#DIV/0!</v>
      </c>
      <c r="K82" s="73"/>
      <c r="L82" s="42">
        <f t="shared" si="11"/>
        <v>0</v>
      </c>
      <c r="M82" s="86"/>
      <c r="N82" s="86"/>
      <c r="O82" s="86"/>
      <c r="P82" s="86"/>
      <c r="Q82" s="86">
        <v>300000</v>
      </c>
      <c r="R82" s="86"/>
      <c r="S82" s="86">
        <v>700000</v>
      </c>
      <c r="T82" s="86">
        <v>300000</v>
      </c>
      <c r="U82" s="86">
        <v>300000</v>
      </c>
      <c r="V82" s="86"/>
      <c r="W82" s="86">
        <v>400000</v>
      </c>
      <c r="X82" s="86"/>
      <c r="Y82" s="42">
        <f t="shared" si="3"/>
        <v>2000000</v>
      </c>
      <c r="Z82" s="45">
        <f t="shared" si="12"/>
        <v>0</v>
      </c>
    </row>
    <row r="83" spans="1:26" ht="36">
      <c r="A83" s="56"/>
      <c r="B83" s="18"/>
      <c r="C83" s="80" t="s">
        <v>44</v>
      </c>
      <c r="D83" s="75">
        <f>E83+F83</f>
        <v>299500</v>
      </c>
      <c r="E83" s="21"/>
      <c r="F83" s="53">
        <f>G83</f>
        <v>299500</v>
      </c>
      <c r="G83" s="53">
        <v>299500</v>
      </c>
      <c r="H83" s="54"/>
      <c r="I83" s="84">
        <f t="shared" si="15"/>
        <v>0</v>
      </c>
      <c r="J83" s="98">
        <f t="shared" si="17"/>
        <v>0</v>
      </c>
      <c r="K83" s="73"/>
      <c r="L83" s="42">
        <f t="shared" si="11"/>
        <v>299500</v>
      </c>
      <c r="M83" s="86"/>
      <c r="N83" s="86">
        <v>150000</v>
      </c>
      <c r="O83" s="86"/>
      <c r="P83" s="86">
        <v>149500</v>
      </c>
      <c r="Q83" s="86"/>
      <c r="R83" s="86"/>
      <c r="S83" s="86"/>
      <c r="T83" s="86"/>
      <c r="U83" s="86"/>
      <c r="V83" s="86"/>
      <c r="W83" s="86"/>
      <c r="X83" s="86"/>
      <c r="Y83" s="42">
        <f t="shared" si="3"/>
        <v>299500</v>
      </c>
      <c r="Z83" s="45">
        <f t="shared" si="12"/>
        <v>0</v>
      </c>
    </row>
    <row r="84" spans="1:26" ht="18">
      <c r="A84" s="56"/>
      <c r="B84" s="18"/>
      <c r="C84" s="81" t="s">
        <v>79</v>
      </c>
      <c r="D84" s="75">
        <f aca="true" t="shared" si="18" ref="D84:D104">F84</f>
        <v>1703200</v>
      </c>
      <c r="E84" s="17"/>
      <c r="F84" s="17">
        <f aca="true" t="shared" si="19" ref="F84:F104">G84</f>
        <v>1703200</v>
      </c>
      <c r="G84" s="17">
        <v>1703200</v>
      </c>
      <c r="H84" s="54"/>
      <c r="I84" s="84">
        <f t="shared" si="15"/>
        <v>0</v>
      </c>
      <c r="J84" s="98">
        <f t="shared" si="17"/>
        <v>0</v>
      </c>
      <c r="K84" s="73"/>
      <c r="L84" s="42">
        <f t="shared" si="11"/>
        <v>500000</v>
      </c>
      <c r="M84" s="87"/>
      <c r="N84" s="87"/>
      <c r="O84" s="87">
        <v>300000</v>
      </c>
      <c r="P84" s="87">
        <v>200000</v>
      </c>
      <c r="Q84" s="87">
        <v>500000</v>
      </c>
      <c r="R84" s="87">
        <v>200000</v>
      </c>
      <c r="S84" s="87"/>
      <c r="T84" s="87"/>
      <c r="U84" s="87"/>
      <c r="V84" s="87"/>
      <c r="W84" s="87">
        <v>503200</v>
      </c>
      <c r="X84" s="87"/>
      <c r="Y84" s="42">
        <f t="shared" si="3"/>
        <v>1703200</v>
      </c>
      <c r="Z84" s="45">
        <f t="shared" si="12"/>
        <v>0</v>
      </c>
    </row>
    <row r="85" spans="1:26" ht="18">
      <c r="A85" s="56"/>
      <c r="B85" s="18"/>
      <c r="C85" s="81" t="s">
        <v>80</v>
      </c>
      <c r="D85" s="75">
        <f t="shared" si="18"/>
        <v>1000000</v>
      </c>
      <c r="E85" s="17"/>
      <c r="F85" s="17">
        <f t="shared" si="19"/>
        <v>1000000</v>
      </c>
      <c r="G85" s="17">
        <v>1000000</v>
      </c>
      <c r="H85" s="54"/>
      <c r="I85" s="84">
        <f t="shared" si="15"/>
        <v>0</v>
      </c>
      <c r="J85" s="98">
        <f t="shared" si="17"/>
        <v>0</v>
      </c>
      <c r="K85" s="73"/>
      <c r="L85" s="42">
        <f t="shared" si="11"/>
        <v>100000</v>
      </c>
      <c r="M85" s="87"/>
      <c r="N85" s="87"/>
      <c r="O85" s="87">
        <v>100000</v>
      </c>
      <c r="P85" s="87"/>
      <c r="Q85" s="87"/>
      <c r="R85" s="87"/>
      <c r="S85" s="87"/>
      <c r="T85" s="87">
        <v>450000</v>
      </c>
      <c r="U85" s="87"/>
      <c r="V85" s="87">
        <v>450000</v>
      </c>
      <c r="W85" s="87"/>
      <c r="X85" s="87"/>
      <c r="Y85" s="42">
        <f t="shared" si="3"/>
        <v>1000000</v>
      </c>
      <c r="Z85" s="45">
        <f t="shared" si="12"/>
        <v>0</v>
      </c>
    </row>
    <row r="86" spans="1:26" ht="18">
      <c r="A86" s="56"/>
      <c r="B86" s="18"/>
      <c r="C86" s="81" t="s">
        <v>81</v>
      </c>
      <c r="D86" s="75">
        <f t="shared" si="18"/>
        <v>20000000</v>
      </c>
      <c r="E86" s="17"/>
      <c r="F86" s="17">
        <f t="shared" si="19"/>
        <v>20000000</v>
      </c>
      <c r="G86" s="17">
        <v>20000000</v>
      </c>
      <c r="H86" s="54">
        <f>5000000</f>
        <v>5000000</v>
      </c>
      <c r="I86" s="75">
        <f t="shared" si="15"/>
        <v>25</v>
      </c>
      <c r="J86" s="98">
        <f t="shared" si="17"/>
        <v>75.75757575757575</v>
      </c>
      <c r="K86" s="73"/>
      <c r="L86" s="42">
        <f t="shared" si="11"/>
        <v>1600000</v>
      </c>
      <c r="M86" s="87"/>
      <c r="N86" s="87"/>
      <c r="O86" s="87">
        <f>10000000-2900000-500000</f>
        <v>6600000</v>
      </c>
      <c r="P86" s="87"/>
      <c r="Q86" s="87">
        <f>5000000+2900000</f>
        <v>7900000</v>
      </c>
      <c r="R86" s="87"/>
      <c r="S86" s="87"/>
      <c r="T86" s="87">
        <v>5000000</v>
      </c>
      <c r="U86" s="87"/>
      <c r="V86" s="87"/>
      <c r="W86" s="87"/>
      <c r="X86" s="87">
        <v>500000</v>
      </c>
      <c r="Y86" s="42">
        <f t="shared" si="3"/>
        <v>20000000</v>
      </c>
      <c r="Z86" s="45">
        <f t="shared" si="12"/>
        <v>0</v>
      </c>
    </row>
    <row r="87" spans="1:26" ht="18">
      <c r="A87" s="56"/>
      <c r="B87" s="18"/>
      <c r="C87" s="81" t="s">
        <v>82</v>
      </c>
      <c r="D87" s="75">
        <f t="shared" si="18"/>
        <v>30000000</v>
      </c>
      <c r="E87" s="17"/>
      <c r="F87" s="17">
        <f t="shared" si="19"/>
        <v>30000000</v>
      </c>
      <c r="G87" s="17">
        <v>30000000</v>
      </c>
      <c r="H87" s="54"/>
      <c r="I87" s="84">
        <f t="shared" si="15"/>
        <v>0</v>
      </c>
      <c r="J87" s="98">
        <f t="shared" si="17"/>
        <v>0</v>
      </c>
      <c r="K87" s="73"/>
      <c r="L87" s="42">
        <f t="shared" si="11"/>
        <v>500000</v>
      </c>
      <c r="M87" s="87"/>
      <c r="N87" s="87"/>
      <c r="O87" s="87">
        <v>500000</v>
      </c>
      <c r="P87" s="87"/>
      <c r="Q87" s="87"/>
      <c r="R87" s="87"/>
      <c r="S87" s="87">
        <v>600</v>
      </c>
      <c r="T87" s="87">
        <v>10000000</v>
      </c>
      <c r="U87" s="87"/>
      <c r="V87" s="87">
        <v>9377191.27</v>
      </c>
      <c r="W87" s="87">
        <v>6433600</v>
      </c>
      <c r="X87" s="87">
        <v>3688608.73</v>
      </c>
      <c r="Y87" s="42">
        <f aca="true" t="shared" si="20" ref="Y87:Y104">SUM(M87:X87)</f>
        <v>30000000</v>
      </c>
      <c r="Z87" s="45">
        <f t="shared" si="12"/>
        <v>0</v>
      </c>
    </row>
    <row r="88" spans="1:26" ht="18">
      <c r="A88" s="56"/>
      <c r="B88" s="18"/>
      <c r="C88" s="81" t="s">
        <v>83</v>
      </c>
      <c r="D88" s="75">
        <f t="shared" si="18"/>
        <v>1500000</v>
      </c>
      <c r="E88" s="17"/>
      <c r="F88" s="17">
        <f t="shared" si="19"/>
        <v>1500000</v>
      </c>
      <c r="G88" s="17">
        <f>2000000-500000</f>
        <v>1500000</v>
      </c>
      <c r="H88" s="54"/>
      <c r="I88" s="84">
        <f t="shared" si="15"/>
        <v>0</v>
      </c>
      <c r="J88" s="98">
        <f t="shared" si="17"/>
        <v>0</v>
      </c>
      <c r="K88" s="73"/>
      <c r="L88" s="42">
        <f t="shared" si="11"/>
        <v>100000</v>
      </c>
      <c r="M88" s="87"/>
      <c r="N88" s="87"/>
      <c r="O88" s="87">
        <v>100000</v>
      </c>
      <c r="P88" s="87"/>
      <c r="Q88" s="87">
        <v>400000</v>
      </c>
      <c r="R88" s="87"/>
      <c r="S88" s="87">
        <v>500000</v>
      </c>
      <c r="T88" s="87"/>
      <c r="U88" s="87">
        <v>500000</v>
      </c>
      <c r="V88" s="87"/>
      <c r="W88" s="87"/>
      <c r="X88" s="87"/>
      <c r="Y88" s="42">
        <f t="shared" si="20"/>
        <v>1500000</v>
      </c>
      <c r="Z88" s="45">
        <f t="shared" si="12"/>
        <v>0</v>
      </c>
    </row>
    <row r="89" spans="1:26" ht="18">
      <c r="A89" s="56"/>
      <c r="B89" s="18"/>
      <c r="C89" s="81" t="s">
        <v>84</v>
      </c>
      <c r="D89" s="75">
        <f t="shared" si="18"/>
        <v>35000000</v>
      </c>
      <c r="E89" s="17"/>
      <c r="F89" s="17">
        <f t="shared" si="19"/>
        <v>35000000</v>
      </c>
      <c r="G89" s="17">
        <f>40000000-5000000</f>
        <v>35000000</v>
      </c>
      <c r="H89" s="54"/>
      <c r="I89" s="84">
        <f t="shared" si="15"/>
        <v>0</v>
      </c>
      <c r="J89" s="98" t="e">
        <f t="shared" si="17"/>
        <v>#DIV/0!</v>
      </c>
      <c r="K89" s="73"/>
      <c r="L89" s="42">
        <f t="shared" si="11"/>
        <v>0</v>
      </c>
      <c r="M89" s="87"/>
      <c r="N89" s="87"/>
      <c r="O89" s="87"/>
      <c r="P89" s="87"/>
      <c r="Q89" s="87">
        <v>521004</v>
      </c>
      <c r="R89" s="87"/>
      <c r="S89" s="87">
        <v>3000000</v>
      </c>
      <c r="T89" s="87"/>
      <c r="U89" s="87">
        <v>1000000</v>
      </c>
      <c r="V89" s="87"/>
      <c r="W89" s="87">
        <v>20000000</v>
      </c>
      <c r="X89" s="87">
        <f>15478996-5000000</f>
        <v>10478996</v>
      </c>
      <c r="Y89" s="42">
        <f t="shared" si="20"/>
        <v>35000000</v>
      </c>
      <c r="Z89" s="45">
        <f t="shared" si="12"/>
        <v>0</v>
      </c>
    </row>
    <row r="90" spans="1:26" s="95" customFormat="1" ht="18">
      <c r="A90" s="88"/>
      <c r="B90" s="89"/>
      <c r="C90" s="90" t="s">
        <v>85</v>
      </c>
      <c r="D90" s="75">
        <f t="shared" si="18"/>
        <v>700000</v>
      </c>
      <c r="E90" s="75"/>
      <c r="F90" s="75">
        <f t="shared" si="19"/>
        <v>700000</v>
      </c>
      <c r="G90" s="75">
        <v>700000</v>
      </c>
      <c r="H90" s="91"/>
      <c r="I90" s="84">
        <f t="shared" si="15"/>
        <v>0</v>
      </c>
      <c r="J90" s="98" t="e">
        <f t="shared" si="17"/>
        <v>#DIV/0!</v>
      </c>
      <c r="K90" s="92"/>
      <c r="L90" s="42">
        <f t="shared" si="11"/>
        <v>0</v>
      </c>
      <c r="M90" s="87"/>
      <c r="N90" s="87"/>
      <c r="O90" s="87"/>
      <c r="P90" s="87"/>
      <c r="Q90" s="87"/>
      <c r="R90" s="87"/>
      <c r="S90" s="87">
        <v>100000</v>
      </c>
      <c r="T90" s="87">
        <v>200000</v>
      </c>
      <c r="U90" s="87">
        <v>400000</v>
      </c>
      <c r="V90" s="87"/>
      <c r="W90" s="87"/>
      <c r="X90" s="87"/>
      <c r="Y90" s="93">
        <f t="shared" si="20"/>
        <v>700000</v>
      </c>
      <c r="Z90" s="94">
        <f t="shared" si="12"/>
        <v>0</v>
      </c>
    </row>
    <row r="91" spans="1:26" ht="18">
      <c r="A91" s="56"/>
      <c r="B91" s="18"/>
      <c r="C91" s="81" t="s">
        <v>86</v>
      </c>
      <c r="D91" s="75">
        <f t="shared" si="18"/>
        <v>600000</v>
      </c>
      <c r="E91" s="17"/>
      <c r="F91" s="17">
        <f t="shared" si="19"/>
        <v>600000</v>
      </c>
      <c r="G91" s="17">
        <v>600000</v>
      </c>
      <c r="H91" s="54"/>
      <c r="I91" s="84">
        <f t="shared" si="15"/>
        <v>0</v>
      </c>
      <c r="J91" s="98" t="e">
        <f t="shared" si="17"/>
        <v>#DIV/0!</v>
      </c>
      <c r="K91" s="73"/>
      <c r="L91" s="42">
        <f t="shared" si="11"/>
        <v>0</v>
      </c>
      <c r="M91" s="87"/>
      <c r="N91" s="87"/>
      <c r="O91" s="87"/>
      <c r="P91" s="87"/>
      <c r="Q91" s="87"/>
      <c r="R91" s="87"/>
      <c r="S91" s="87">
        <v>300000</v>
      </c>
      <c r="T91" s="87"/>
      <c r="U91" s="87"/>
      <c r="V91" s="87"/>
      <c r="W91" s="87">
        <v>300000</v>
      </c>
      <c r="X91" s="87"/>
      <c r="Y91" s="42">
        <f t="shared" si="20"/>
        <v>600000</v>
      </c>
      <c r="Z91" s="45">
        <f t="shared" si="12"/>
        <v>0</v>
      </c>
    </row>
    <row r="92" spans="1:26" ht="24" customHeight="1">
      <c r="A92" s="56"/>
      <c r="B92" s="18"/>
      <c r="C92" s="81" t="s">
        <v>87</v>
      </c>
      <c r="D92" s="75">
        <f t="shared" si="18"/>
        <v>500000</v>
      </c>
      <c r="E92" s="17"/>
      <c r="F92" s="17">
        <f t="shared" si="19"/>
        <v>500000</v>
      </c>
      <c r="G92" s="17">
        <v>500000</v>
      </c>
      <c r="H92" s="54"/>
      <c r="I92" s="84">
        <f t="shared" si="15"/>
        <v>0</v>
      </c>
      <c r="J92" s="98" t="e">
        <f t="shared" si="17"/>
        <v>#DIV/0!</v>
      </c>
      <c r="K92" s="73"/>
      <c r="L92" s="42">
        <f t="shared" si="11"/>
        <v>0</v>
      </c>
      <c r="M92" s="87"/>
      <c r="N92" s="87"/>
      <c r="O92" s="87"/>
      <c r="P92" s="87"/>
      <c r="Q92" s="87"/>
      <c r="R92" s="87"/>
      <c r="S92" s="87"/>
      <c r="T92" s="87"/>
      <c r="U92" s="87">
        <v>251600</v>
      </c>
      <c r="V92" s="87">
        <v>248400</v>
      </c>
      <c r="W92" s="87"/>
      <c r="X92" s="87"/>
      <c r="Y92" s="42">
        <f t="shared" si="20"/>
        <v>500000</v>
      </c>
      <c r="Z92" s="45">
        <f t="shared" si="12"/>
        <v>0</v>
      </c>
    </row>
    <row r="93" spans="1:26" ht="24" customHeight="1">
      <c r="A93" s="56"/>
      <c r="B93" s="18"/>
      <c r="C93" s="81" t="s">
        <v>88</v>
      </c>
      <c r="D93" s="75">
        <f t="shared" si="18"/>
        <v>1241860</v>
      </c>
      <c r="E93" s="17"/>
      <c r="F93" s="17">
        <f t="shared" si="19"/>
        <v>1241860</v>
      </c>
      <c r="G93" s="17">
        <v>1241860</v>
      </c>
      <c r="H93" s="54"/>
      <c r="I93" s="84">
        <f t="shared" si="15"/>
        <v>0</v>
      </c>
      <c r="J93" s="98">
        <f t="shared" si="17"/>
        <v>0</v>
      </c>
      <c r="K93" s="73"/>
      <c r="L93" s="42">
        <f t="shared" si="11"/>
        <v>800000</v>
      </c>
      <c r="M93" s="87"/>
      <c r="N93" s="87"/>
      <c r="O93" s="87">
        <v>600000</v>
      </c>
      <c r="P93" s="87">
        <v>200000</v>
      </c>
      <c r="Q93" s="87">
        <v>241860</v>
      </c>
      <c r="R93" s="87"/>
      <c r="S93" s="87"/>
      <c r="T93" s="87"/>
      <c r="U93" s="87"/>
      <c r="V93" s="87"/>
      <c r="W93" s="87">
        <v>200000</v>
      </c>
      <c r="X93" s="87"/>
      <c r="Y93" s="42">
        <f t="shared" si="20"/>
        <v>1241860</v>
      </c>
      <c r="Z93" s="45">
        <f t="shared" si="12"/>
        <v>0</v>
      </c>
    </row>
    <row r="94" spans="1:26" ht="24" customHeight="1">
      <c r="A94" s="56"/>
      <c r="B94" s="18"/>
      <c r="C94" s="81" t="s">
        <v>89</v>
      </c>
      <c r="D94" s="75">
        <f t="shared" si="18"/>
        <v>3049770</v>
      </c>
      <c r="E94" s="17"/>
      <c r="F94" s="17">
        <f t="shared" si="19"/>
        <v>3049770</v>
      </c>
      <c r="G94" s="17">
        <f>3753010-703240</f>
        <v>3049770</v>
      </c>
      <c r="H94" s="54"/>
      <c r="I94" s="84">
        <f t="shared" si="15"/>
        <v>0</v>
      </c>
      <c r="J94" s="98" t="e">
        <f t="shared" si="17"/>
        <v>#DIV/0!</v>
      </c>
      <c r="K94" s="73"/>
      <c r="L94" s="42">
        <f t="shared" si="11"/>
        <v>0</v>
      </c>
      <c r="M94" s="87"/>
      <c r="N94" s="87"/>
      <c r="O94" s="87"/>
      <c r="P94" s="87"/>
      <c r="Q94" s="87">
        <f>600000-381000</f>
        <v>219000</v>
      </c>
      <c r="R94" s="87"/>
      <c r="S94" s="87">
        <f>1000000-322240</f>
        <v>677760</v>
      </c>
      <c r="T94" s="87">
        <v>453010</v>
      </c>
      <c r="U94" s="87">
        <v>400000</v>
      </c>
      <c r="V94" s="87">
        <v>300000</v>
      </c>
      <c r="W94" s="87">
        <v>1000000</v>
      </c>
      <c r="X94" s="87"/>
      <c r="Y94" s="42">
        <f t="shared" si="20"/>
        <v>3049770</v>
      </c>
      <c r="Z94" s="45">
        <f t="shared" si="12"/>
        <v>0</v>
      </c>
    </row>
    <row r="95" spans="1:26" ht="18">
      <c r="A95" s="56"/>
      <c r="B95" s="18"/>
      <c r="C95" s="81" t="s">
        <v>90</v>
      </c>
      <c r="D95" s="17">
        <f t="shared" si="18"/>
        <v>21323020</v>
      </c>
      <c r="E95" s="17"/>
      <c r="F95" s="17">
        <f t="shared" si="19"/>
        <v>21323020</v>
      </c>
      <c r="G95" s="17">
        <v>21323020</v>
      </c>
      <c r="H95" s="54"/>
      <c r="I95" s="84">
        <f t="shared" si="15"/>
        <v>0</v>
      </c>
      <c r="J95" s="98">
        <f t="shared" si="17"/>
        <v>0</v>
      </c>
      <c r="K95" s="73"/>
      <c r="L95" s="42">
        <f t="shared" si="11"/>
        <v>3619000</v>
      </c>
      <c r="M95" s="87"/>
      <c r="N95" s="87"/>
      <c r="O95" s="87">
        <f>4000000-381000</f>
        <v>3619000</v>
      </c>
      <c r="P95" s="87"/>
      <c r="Q95" s="87">
        <f>1200000+381000</f>
        <v>1581000</v>
      </c>
      <c r="R95" s="87">
        <v>1800000</v>
      </c>
      <c r="S95" s="87">
        <v>1500000</v>
      </c>
      <c r="T95" s="87">
        <v>1065590</v>
      </c>
      <c r="U95" s="87">
        <v>1500000</v>
      </c>
      <c r="V95" s="87">
        <v>1934410</v>
      </c>
      <c r="W95" s="87">
        <v>6200000</v>
      </c>
      <c r="X95" s="87">
        <v>2123020</v>
      </c>
      <c r="Y95" s="42">
        <f t="shared" si="20"/>
        <v>21323020</v>
      </c>
      <c r="Z95" s="45">
        <f t="shared" si="12"/>
        <v>0</v>
      </c>
    </row>
    <row r="96" spans="1:26" ht="18">
      <c r="A96" s="56"/>
      <c r="B96" s="18"/>
      <c r="C96" s="81" t="s">
        <v>91</v>
      </c>
      <c r="D96" s="17">
        <f t="shared" si="18"/>
        <v>10000000</v>
      </c>
      <c r="E96" s="17"/>
      <c r="F96" s="17">
        <f t="shared" si="19"/>
        <v>10000000</v>
      </c>
      <c r="G96" s="17">
        <v>10000000</v>
      </c>
      <c r="H96" s="54"/>
      <c r="I96" s="84">
        <f t="shared" si="15"/>
        <v>0</v>
      </c>
      <c r="J96" s="98" t="e">
        <f t="shared" si="17"/>
        <v>#DIV/0!</v>
      </c>
      <c r="K96" s="73"/>
      <c r="L96" s="42">
        <f t="shared" si="11"/>
        <v>0</v>
      </c>
      <c r="M96" s="87"/>
      <c r="N96" s="87"/>
      <c r="O96" s="87"/>
      <c r="P96" s="87"/>
      <c r="Q96" s="87">
        <v>360000</v>
      </c>
      <c r="R96" s="87"/>
      <c r="S96" s="87"/>
      <c r="T96" s="87">
        <v>3000000</v>
      </c>
      <c r="U96" s="87">
        <v>3000000</v>
      </c>
      <c r="V96" s="87">
        <v>3000000</v>
      </c>
      <c r="W96" s="87">
        <v>340000</v>
      </c>
      <c r="X96" s="87">
        <v>300000</v>
      </c>
      <c r="Y96" s="42">
        <f t="shared" si="20"/>
        <v>10000000</v>
      </c>
      <c r="Z96" s="45">
        <f t="shared" si="12"/>
        <v>0</v>
      </c>
    </row>
    <row r="97" spans="1:26" ht="18">
      <c r="A97" s="56"/>
      <c r="B97" s="18"/>
      <c r="C97" s="81" t="s">
        <v>92</v>
      </c>
      <c r="D97" s="17">
        <f t="shared" si="18"/>
        <v>950000</v>
      </c>
      <c r="E97" s="17"/>
      <c r="F97" s="17">
        <f t="shared" si="19"/>
        <v>950000</v>
      </c>
      <c r="G97" s="17">
        <v>950000</v>
      </c>
      <c r="H97" s="54"/>
      <c r="I97" s="84">
        <f t="shared" si="15"/>
        <v>0</v>
      </c>
      <c r="J97" s="98" t="e">
        <f t="shared" si="17"/>
        <v>#DIV/0!</v>
      </c>
      <c r="K97" s="73"/>
      <c r="L97" s="42">
        <f t="shared" si="11"/>
        <v>0</v>
      </c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>
        <v>950000</v>
      </c>
      <c r="X97" s="87"/>
      <c r="Y97" s="42">
        <f t="shared" si="20"/>
        <v>950000</v>
      </c>
      <c r="Z97" s="45">
        <f t="shared" si="12"/>
        <v>0</v>
      </c>
    </row>
    <row r="98" spans="1:26" ht="18">
      <c r="A98" s="56"/>
      <c r="B98" s="18"/>
      <c r="C98" s="81" t="s">
        <v>93</v>
      </c>
      <c r="D98" s="17">
        <f t="shared" si="18"/>
        <v>37000000</v>
      </c>
      <c r="E98" s="17"/>
      <c r="F98" s="17">
        <f t="shared" si="19"/>
        <v>37000000</v>
      </c>
      <c r="G98" s="17">
        <v>37000000</v>
      </c>
      <c r="H98" s="54"/>
      <c r="I98" s="84">
        <f t="shared" si="15"/>
        <v>0</v>
      </c>
      <c r="J98" s="98">
        <f t="shared" si="17"/>
        <v>0</v>
      </c>
      <c r="K98" s="73"/>
      <c r="L98" s="42">
        <f aca="true" t="shared" si="21" ref="L98:L104">(M98+N98+O98+P98)-H98</f>
        <v>2200000</v>
      </c>
      <c r="M98" s="87"/>
      <c r="N98" s="87"/>
      <c r="O98" s="87"/>
      <c r="P98" s="87">
        <v>2200000</v>
      </c>
      <c r="Q98" s="87"/>
      <c r="R98" s="87">
        <v>2798000.85</v>
      </c>
      <c r="S98" s="87">
        <v>5000000</v>
      </c>
      <c r="T98" s="87">
        <v>5000000</v>
      </c>
      <c r="U98" s="87">
        <v>11000000</v>
      </c>
      <c r="V98" s="87">
        <v>7996999.15</v>
      </c>
      <c r="W98" s="87">
        <v>3005000</v>
      </c>
      <c r="X98" s="87"/>
      <c r="Y98" s="42">
        <f t="shared" si="20"/>
        <v>37000000</v>
      </c>
      <c r="Z98" s="45">
        <f aca="true" t="shared" si="22" ref="Z98:Z105">Y98-D98</f>
        <v>0</v>
      </c>
    </row>
    <row r="99" spans="1:26" ht="18">
      <c r="A99" s="56"/>
      <c r="B99" s="18"/>
      <c r="C99" s="81" t="s">
        <v>94</v>
      </c>
      <c r="D99" s="17">
        <f t="shared" si="18"/>
        <v>18000000</v>
      </c>
      <c r="E99" s="17"/>
      <c r="F99" s="17">
        <f t="shared" si="19"/>
        <v>18000000</v>
      </c>
      <c r="G99" s="17">
        <v>18000000</v>
      </c>
      <c r="H99" s="54"/>
      <c r="I99" s="84">
        <f t="shared" si="15"/>
        <v>0</v>
      </c>
      <c r="J99" s="98">
        <f t="shared" si="17"/>
        <v>0</v>
      </c>
      <c r="K99" s="73"/>
      <c r="L99" s="42">
        <f t="shared" si="21"/>
        <v>700000</v>
      </c>
      <c r="M99" s="87"/>
      <c r="N99" s="87"/>
      <c r="O99" s="87">
        <v>500000</v>
      </c>
      <c r="P99" s="87">
        <v>200000</v>
      </c>
      <c r="Q99" s="87">
        <v>300000</v>
      </c>
      <c r="R99" s="87"/>
      <c r="S99" s="87">
        <v>2000000</v>
      </c>
      <c r="T99" s="87">
        <v>2000000</v>
      </c>
      <c r="U99" s="87">
        <v>2000000</v>
      </c>
      <c r="V99" s="87">
        <v>5000000</v>
      </c>
      <c r="W99" s="87">
        <v>3000000</v>
      </c>
      <c r="X99" s="87">
        <v>3000000</v>
      </c>
      <c r="Y99" s="42">
        <f t="shared" si="20"/>
        <v>18000000</v>
      </c>
      <c r="Z99" s="45">
        <f t="shared" si="22"/>
        <v>0</v>
      </c>
    </row>
    <row r="100" spans="1:26" ht="18">
      <c r="A100" s="56"/>
      <c r="B100" s="18"/>
      <c r="C100" s="81" t="s">
        <v>95</v>
      </c>
      <c r="D100" s="17">
        <f t="shared" si="18"/>
        <v>2000000</v>
      </c>
      <c r="E100" s="17"/>
      <c r="F100" s="17">
        <f t="shared" si="19"/>
        <v>2000000</v>
      </c>
      <c r="G100" s="17">
        <v>2000000</v>
      </c>
      <c r="H100" s="54"/>
      <c r="I100" s="84">
        <f t="shared" si="15"/>
        <v>0</v>
      </c>
      <c r="J100" s="98">
        <f t="shared" si="17"/>
        <v>0</v>
      </c>
      <c r="K100" s="73"/>
      <c r="L100" s="42">
        <f t="shared" si="21"/>
        <v>100000</v>
      </c>
      <c r="M100" s="87"/>
      <c r="N100" s="87"/>
      <c r="O100" s="87">
        <v>100000</v>
      </c>
      <c r="P100" s="87"/>
      <c r="Q100" s="87">
        <v>300000</v>
      </c>
      <c r="R100" s="87"/>
      <c r="S100" s="87">
        <v>600000</v>
      </c>
      <c r="T100" s="87"/>
      <c r="U100" s="87">
        <v>1000000</v>
      </c>
      <c r="V100" s="87"/>
      <c r="W100" s="87"/>
      <c r="X100" s="87"/>
      <c r="Y100" s="42">
        <f t="shared" si="20"/>
        <v>2000000</v>
      </c>
      <c r="Z100" s="45">
        <f t="shared" si="22"/>
        <v>0</v>
      </c>
    </row>
    <row r="101" spans="1:26" ht="21.75" customHeight="1">
      <c r="A101" s="56"/>
      <c r="B101" s="18"/>
      <c r="C101" s="81" t="s">
        <v>99</v>
      </c>
      <c r="D101" s="17">
        <f t="shared" si="18"/>
        <v>703240</v>
      </c>
      <c r="E101" s="17"/>
      <c r="F101" s="17">
        <f t="shared" si="19"/>
        <v>703240</v>
      </c>
      <c r="G101" s="17">
        <v>703240</v>
      </c>
      <c r="H101" s="54">
        <f>380144.4</f>
        <v>380144.4</v>
      </c>
      <c r="I101" s="17">
        <f t="shared" si="15"/>
        <v>54.0561401512997</v>
      </c>
      <c r="J101" s="99">
        <f t="shared" si="17"/>
        <v>99.77543307086614</v>
      </c>
      <c r="K101" s="73"/>
      <c r="L101" s="42">
        <f t="shared" si="21"/>
        <v>855.5999999999767</v>
      </c>
      <c r="M101" s="87"/>
      <c r="N101" s="87"/>
      <c r="O101" s="87">
        <f>381000</f>
        <v>381000</v>
      </c>
      <c r="P101" s="87"/>
      <c r="Q101" s="87">
        <f>381000-381000</f>
        <v>0</v>
      </c>
      <c r="R101" s="87"/>
      <c r="S101" s="87">
        <f>322240</f>
        <v>322240</v>
      </c>
      <c r="T101" s="87"/>
      <c r="U101" s="87"/>
      <c r="V101" s="87"/>
      <c r="W101" s="87"/>
      <c r="X101" s="87"/>
      <c r="Y101" s="42">
        <f t="shared" si="20"/>
        <v>703240</v>
      </c>
      <c r="Z101" s="45">
        <f t="shared" si="22"/>
        <v>0</v>
      </c>
    </row>
    <row r="102" spans="1:26" ht="36">
      <c r="A102" s="56"/>
      <c r="B102" s="18"/>
      <c r="C102" s="81" t="s">
        <v>96</v>
      </c>
      <c r="D102" s="17">
        <f t="shared" si="18"/>
        <v>9002780</v>
      </c>
      <c r="E102" s="17"/>
      <c r="F102" s="17">
        <f t="shared" si="19"/>
        <v>9002780</v>
      </c>
      <c r="G102" s="17">
        <v>9002780</v>
      </c>
      <c r="H102" s="54"/>
      <c r="I102" s="84">
        <f t="shared" si="15"/>
        <v>0</v>
      </c>
      <c r="J102" s="98" t="e">
        <f t="shared" si="17"/>
        <v>#DIV/0!</v>
      </c>
      <c r="K102" s="73"/>
      <c r="L102" s="42">
        <f t="shared" si="21"/>
        <v>0</v>
      </c>
      <c r="M102" s="87"/>
      <c r="N102" s="87"/>
      <c r="O102" s="87"/>
      <c r="P102" s="87"/>
      <c r="Q102" s="87">
        <v>600000</v>
      </c>
      <c r="R102" s="87"/>
      <c r="S102" s="87">
        <v>3000000</v>
      </c>
      <c r="T102" s="87"/>
      <c r="U102" s="87">
        <v>1000000</v>
      </c>
      <c r="V102" s="87">
        <v>1000000</v>
      </c>
      <c r="W102" s="87">
        <v>1402780</v>
      </c>
      <c r="X102" s="87">
        <v>2000000</v>
      </c>
      <c r="Y102" s="42">
        <f t="shared" si="20"/>
        <v>9002780</v>
      </c>
      <c r="Z102" s="45">
        <f t="shared" si="22"/>
        <v>0</v>
      </c>
    </row>
    <row r="103" spans="1:26" ht="36">
      <c r="A103" s="56"/>
      <c r="B103" s="18"/>
      <c r="C103" s="81" t="s">
        <v>97</v>
      </c>
      <c r="D103" s="17">
        <f t="shared" si="18"/>
        <v>22317920</v>
      </c>
      <c r="E103" s="17"/>
      <c r="F103" s="17">
        <f t="shared" si="19"/>
        <v>22317920</v>
      </c>
      <c r="G103" s="17">
        <v>22317920</v>
      </c>
      <c r="H103" s="54">
        <f>1531485.6+2456653.03+7153.97</f>
        <v>3995292.6</v>
      </c>
      <c r="I103" s="17">
        <f t="shared" si="15"/>
        <v>17.90172471269724</v>
      </c>
      <c r="J103" s="98">
        <f t="shared" si="17"/>
        <v>60.53473636363636</v>
      </c>
      <c r="K103" s="73"/>
      <c r="L103" s="42">
        <f t="shared" si="21"/>
        <v>2604707.4</v>
      </c>
      <c r="M103" s="87"/>
      <c r="N103" s="87"/>
      <c r="O103" s="87">
        <f>10000000-2900000-500000</f>
        <v>6600000</v>
      </c>
      <c r="P103" s="87"/>
      <c r="Q103" s="87">
        <v>2900000</v>
      </c>
      <c r="R103" s="87"/>
      <c r="S103" s="87">
        <v>5300000</v>
      </c>
      <c r="T103" s="87">
        <v>4000000</v>
      </c>
      <c r="U103" s="87">
        <v>1000000</v>
      </c>
      <c r="V103" s="87"/>
      <c r="W103" s="87">
        <v>2017920</v>
      </c>
      <c r="X103" s="87">
        <v>500000</v>
      </c>
      <c r="Y103" s="42">
        <f t="shared" si="20"/>
        <v>22317920</v>
      </c>
      <c r="Z103" s="45">
        <f t="shared" si="22"/>
        <v>0</v>
      </c>
    </row>
    <row r="104" spans="1:26" ht="18">
      <c r="A104" s="56"/>
      <c r="B104" s="18"/>
      <c r="C104" s="81" t="s">
        <v>98</v>
      </c>
      <c r="D104" s="17">
        <f t="shared" si="18"/>
        <v>1000000</v>
      </c>
      <c r="E104" s="17"/>
      <c r="F104" s="17">
        <f t="shared" si="19"/>
        <v>1000000</v>
      </c>
      <c r="G104" s="17">
        <v>1000000</v>
      </c>
      <c r="H104" s="54"/>
      <c r="I104" s="84">
        <f t="shared" si="15"/>
        <v>0</v>
      </c>
      <c r="J104" s="98" t="e">
        <f t="shared" si="17"/>
        <v>#DIV/0!</v>
      </c>
      <c r="K104" s="73"/>
      <c r="L104" s="42">
        <f t="shared" si="21"/>
        <v>0</v>
      </c>
      <c r="M104" s="87"/>
      <c r="N104" s="87"/>
      <c r="O104" s="87"/>
      <c r="P104" s="87"/>
      <c r="Q104" s="87">
        <v>200000</v>
      </c>
      <c r="R104" s="87"/>
      <c r="S104" s="87">
        <v>200000</v>
      </c>
      <c r="T104" s="87">
        <v>200000</v>
      </c>
      <c r="U104" s="87"/>
      <c r="V104" s="87"/>
      <c r="W104" s="87">
        <v>200000</v>
      </c>
      <c r="X104" s="87">
        <v>200000</v>
      </c>
      <c r="Y104" s="42">
        <f t="shared" si="20"/>
        <v>1000000</v>
      </c>
      <c r="Z104" s="45">
        <f t="shared" si="22"/>
        <v>0</v>
      </c>
    </row>
    <row r="105" spans="1:26" ht="18">
      <c r="A105" s="22"/>
      <c r="B105" s="6"/>
      <c r="C105" s="23" t="s">
        <v>12</v>
      </c>
      <c r="D105" s="8">
        <f>D11+D79</f>
        <v>408848469.43</v>
      </c>
      <c r="E105" s="8">
        <f>E11+E79</f>
        <v>148561799.97</v>
      </c>
      <c r="F105" s="8">
        <f>F11+F79</f>
        <v>260286669.45999998</v>
      </c>
      <c r="G105" s="8">
        <f>G11+G79</f>
        <v>260269180.95999998</v>
      </c>
      <c r="H105" s="8">
        <f>H11+H79</f>
        <v>45332720.81</v>
      </c>
      <c r="I105" s="8">
        <f>H105/D105*100</f>
        <v>11.087902780509621</v>
      </c>
      <c r="J105" s="8">
        <f t="shared" si="17"/>
        <v>56.0809738197542</v>
      </c>
      <c r="K105" s="73"/>
      <c r="L105" s="47">
        <f>(M105+N105+O105+P105)-H105</f>
        <v>35501682.94999999</v>
      </c>
      <c r="M105" s="47">
        <f aca="true" t="shared" si="23" ref="M105:X105">M79+M28+M11</f>
        <v>3100000</v>
      </c>
      <c r="N105" s="47">
        <f t="shared" si="23"/>
        <v>18754577.81</v>
      </c>
      <c r="O105" s="47">
        <f t="shared" si="23"/>
        <v>30315714.619999997</v>
      </c>
      <c r="P105" s="47">
        <f t="shared" si="23"/>
        <v>28664111.33</v>
      </c>
      <c r="Q105" s="47">
        <f t="shared" si="23"/>
        <v>34714485.83</v>
      </c>
      <c r="R105" s="47">
        <f t="shared" si="23"/>
        <v>28530854.4</v>
      </c>
      <c r="S105" s="47">
        <f t="shared" si="23"/>
        <v>46422455.18</v>
      </c>
      <c r="T105" s="47">
        <f t="shared" si="23"/>
        <v>58921933</v>
      </c>
      <c r="U105" s="47">
        <f t="shared" si="23"/>
        <v>30704256.28</v>
      </c>
      <c r="V105" s="47">
        <f t="shared" si="23"/>
        <v>42655986.42</v>
      </c>
      <c r="W105" s="47">
        <f t="shared" si="23"/>
        <v>55619325.87</v>
      </c>
      <c r="X105" s="47">
        <f t="shared" si="23"/>
        <v>30444768.69</v>
      </c>
      <c r="Y105" s="42">
        <f>SUM(M105:X105)</f>
        <v>408848469.43</v>
      </c>
      <c r="Z105" s="45">
        <f t="shared" si="22"/>
        <v>0</v>
      </c>
    </row>
  </sheetData>
  <sheetProtection/>
  <mergeCells count="29"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H7:H8"/>
    <mergeCell ref="I7:I8"/>
    <mergeCell ref="F7:F8"/>
    <mergeCell ref="O8:O9"/>
    <mergeCell ref="V8:V9"/>
    <mergeCell ref="W8:W9"/>
    <mergeCell ref="P8:P9"/>
    <mergeCell ref="Q8:Q9"/>
    <mergeCell ref="R8:R9"/>
    <mergeCell ref="S8:S9"/>
    <mergeCell ref="A78:G78"/>
    <mergeCell ref="J13:J19"/>
    <mergeCell ref="J20:J27"/>
    <mergeCell ref="D1:E1"/>
    <mergeCell ref="A7:A8"/>
    <mergeCell ref="C7:C8"/>
    <mergeCell ref="D7:D8"/>
    <mergeCell ref="E7:E8"/>
    <mergeCell ref="A4:I4"/>
    <mergeCell ref="A3:I3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2019-04-15T13:53:08Z</dcterms:modified>
  <cp:category/>
  <cp:version/>
  <cp:contentType/>
  <cp:contentStatus/>
</cp:coreProperties>
</file>